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495" windowWidth="17490" windowHeight="8325" activeTab="9"/>
  </bookViews>
  <sheets>
    <sheet name="Exh. JAP-39 (Tariff)" sheetId="30" r:id="rId1"/>
    <sheet name="Exh. JAP-39 (Rate Spread)" sheetId="19" r:id="rId2"/>
    <sheet name="Exh. JAP-39 (Prof-Prop)" sheetId="1" r:id="rId3"/>
    <sheet name="Exh. JAP-39 (Res RD)" sheetId="2" r:id="rId4"/>
    <sheet name="Exh. JAP-39 (SV RD)" sheetId="13" r:id="rId5"/>
    <sheet name="Exh. JAP-39 (PV RD)" sheetId="14" r:id="rId6"/>
    <sheet name="Exh. JAP-39 (CAMP RD)" sheetId="16" r:id="rId7"/>
    <sheet name="Exh. JAP-39 (HV RD)" sheetId="15" r:id="rId8"/>
    <sheet name="Exh. JAP-39 (TRANSP RD)" sheetId="18" r:id="rId9"/>
    <sheet name="Exh. JAP-39 (LIGHT RD)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0" localSheetId="6">[1]Jan!#REF!</definedName>
    <definedName name="\0" localSheetId="7">[1]Jan!#REF!</definedName>
    <definedName name="\0" localSheetId="9">[1]Jan!#REF!</definedName>
    <definedName name="\0" localSheetId="5">[1]Jan!#REF!</definedName>
    <definedName name="\0" localSheetId="3">[1]Jan!#REF!</definedName>
    <definedName name="\0" localSheetId="4">[1]Jan!#REF!</definedName>
    <definedName name="\0" localSheetId="8">[1]Jan!#REF!</definedName>
    <definedName name="\0">[1]Jan!#REF!</definedName>
    <definedName name="\A" localSheetId="6">#REF!</definedName>
    <definedName name="\A" localSheetId="7">#REF!</definedName>
    <definedName name="\A" localSheetId="9">#REF!</definedName>
    <definedName name="\A" localSheetId="5">#REF!</definedName>
    <definedName name="\A" localSheetId="3">#REF!</definedName>
    <definedName name="\A" localSheetId="4">#REF!</definedName>
    <definedName name="\A" localSheetId="8">#REF!</definedName>
    <definedName name="\A">#REF!</definedName>
    <definedName name="\B" localSheetId="6">#REF!</definedName>
    <definedName name="\B" localSheetId="7">#REF!</definedName>
    <definedName name="\B" localSheetId="9">#REF!</definedName>
    <definedName name="\B" localSheetId="5">#REF!</definedName>
    <definedName name="\B" localSheetId="3">#REF!</definedName>
    <definedName name="\B" localSheetId="4">#REF!</definedName>
    <definedName name="\B" localSheetId="8">#REF!</definedName>
    <definedName name="\B">#REF!</definedName>
    <definedName name="\BACK1" localSheetId="6">#REF!</definedName>
    <definedName name="\BACK1" localSheetId="7">#REF!</definedName>
    <definedName name="\BACK1" localSheetId="9">#REF!</definedName>
    <definedName name="\BACK1" localSheetId="5">#REF!</definedName>
    <definedName name="\BACK1" localSheetId="3">#REF!</definedName>
    <definedName name="\BACK1" localSheetId="4">#REF!</definedName>
    <definedName name="\BACK1" localSheetId="8">#REF!</definedName>
    <definedName name="\BACK1">#REF!</definedName>
    <definedName name="\BLOCK" localSheetId="6">#REF!</definedName>
    <definedName name="\BLOCK" localSheetId="7">#REF!</definedName>
    <definedName name="\BLOCK" localSheetId="9">#REF!</definedName>
    <definedName name="\BLOCK" localSheetId="5">#REF!</definedName>
    <definedName name="\BLOCK" localSheetId="3">#REF!</definedName>
    <definedName name="\BLOCK" localSheetId="4">#REF!</definedName>
    <definedName name="\BLOCK" localSheetId="8">#REF!</definedName>
    <definedName name="\BLOCK">#REF!</definedName>
    <definedName name="\BLOCKT" localSheetId="6">#REF!</definedName>
    <definedName name="\BLOCKT" localSheetId="7">#REF!</definedName>
    <definedName name="\BLOCKT" localSheetId="9">#REF!</definedName>
    <definedName name="\BLOCKT" localSheetId="5">#REF!</definedName>
    <definedName name="\BLOCKT" localSheetId="3">#REF!</definedName>
    <definedName name="\BLOCKT" localSheetId="4">#REF!</definedName>
    <definedName name="\BLOCKT" localSheetId="8">#REF!</definedName>
    <definedName name="\BLOCKT">#REF!</definedName>
    <definedName name="\C" localSheetId="6">#REF!</definedName>
    <definedName name="\C" localSheetId="7">#REF!</definedName>
    <definedName name="\C" localSheetId="9">#REF!</definedName>
    <definedName name="\C" localSheetId="5">#REF!</definedName>
    <definedName name="\C" localSheetId="3">#REF!</definedName>
    <definedName name="\C" localSheetId="4">#REF!</definedName>
    <definedName name="\C" localSheetId="8">#REF!</definedName>
    <definedName name="\C">#REF!</definedName>
    <definedName name="\COMP" localSheetId="6">#REF!</definedName>
    <definedName name="\COMP" localSheetId="7">#REF!</definedName>
    <definedName name="\COMP" localSheetId="9">#REF!</definedName>
    <definedName name="\COMP" localSheetId="5">#REF!</definedName>
    <definedName name="\COMP" localSheetId="3">#REF!</definedName>
    <definedName name="\COMP" localSheetId="4">#REF!</definedName>
    <definedName name="\COMP" localSheetId="8">#REF!</definedName>
    <definedName name="\COMP">#REF!</definedName>
    <definedName name="\COMPT" localSheetId="6">#REF!</definedName>
    <definedName name="\COMPT" localSheetId="7">#REF!</definedName>
    <definedName name="\COMPT" localSheetId="9">#REF!</definedName>
    <definedName name="\COMPT" localSheetId="5">#REF!</definedName>
    <definedName name="\COMPT" localSheetId="3">#REF!</definedName>
    <definedName name="\COMPT" localSheetId="4">#REF!</definedName>
    <definedName name="\COMPT" localSheetId="8">#REF!</definedName>
    <definedName name="\COMPT">#REF!</definedName>
    <definedName name="\G" localSheetId="6">#REF!</definedName>
    <definedName name="\G" localSheetId="7">#REF!</definedName>
    <definedName name="\G" localSheetId="9">#REF!</definedName>
    <definedName name="\G" localSheetId="5">#REF!</definedName>
    <definedName name="\G" localSheetId="3">#REF!</definedName>
    <definedName name="\G" localSheetId="4">#REF!</definedName>
    <definedName name="\G" localSheetId="8">#REF!</definedName>
    <definedName name="\G">#REF!</definedName>
    <definedName name="\I" localSheetId="6">#REF!</definedName>
    <definedName name="\I" localSheetId="7">#REF!</definedName>
    <definedName name="\I" localSheetId="9">#REF!</definedName>
    <definedName name="\I" localSheetId="5">#REF!</definedName>
    <definedName name="\I" localSheetId="3">#REF!</definedName>
    <definedName name="\I" localSheetId="4">#REF!</definedName>
    <definedName name="\I" localSheetId="8">#REF!</definedName>
    <definedName name="\I">#REF!</definedName>
    <definedName name="\K" localSheetId="6">#REF!</definedName>
    <definedName name="\K" localSheetId="7">#REF!</definedName>
    <definedName name="\K" localSheetId="9">#REF!</definedName>
    <definedName name="\K" localSheetId="5">#REF!</definedName>
    <definedName name="\K" localSheetId="3">#REF!</definedName>
    <definedName name="\K" localSheetId="4">#REF!</definedName>
    <definedName name="\K" localSheetId="8">#REF!</definedName>
    <definedName name="\K">#REF!</definedName>
    <definedName name="\L" localSheetId="6">#REF!</definedName>
    <definedName name="\L" localSheetId="7">#REF!</definedName>
    <definedName name="\L" localSheetId="9">#REF!</definedName>
    <definedName name="\L" localSheetId="5">#REF!</definedName>
    <definedName name="\L" localSheetId="3">#REF!</definedName>
    <definedName name="\L" localSheetId="4">#REF!</definedName>
    <definedName name="\L" localSheetId="8">#REF!</definedName>
    <definedName name="\L">#REF!</definedName>
    <definedName name="\M" localSheetId="6">#REF!</definedName>
    <definedName name="\M" localSheetId="7">#REF!</definedName>
    <definedName name="\M" localSheetId="9">#REF!</definedName>
    <definedName name="\M" localSheetId="5">#REF!</definedName>
    <definedName name="\M" localSheetId="3">#REF!</definedName>
    <definedName name="\M" localSheetId="4">#REF!</definedName>
    <definedName name="\M" localSheetId="8">#REF!</definedName>
    <definedName name="\M">#REF!</definedName>
    <definedName name="\P" localSheetId="6">#REF!</definedName>
    <definedName name="\P" localSheetId="7">#REF!</definedName>
    <definedName name="\P" localSheetId="9">#REF!</definedName>
    <definedName name="\P" localSheetId="5">#REF!</definedName>
    <definedName name="\P" localSheetId="3">#REF!</definedName>
    <definedName name="\P" localSheetId="4">#REF!</definedName>
    <definedName name="\P" localSheetId="8">#REF!</definedName>
    <definedName name="\P">#REF!</definedName>
    <definedName name="\Q" localSheetId="6">[2]Actual!#REF!</definedName>
    <definedName name="\Q" localSheetId="7">[2]Actual!#REF!</definedName>
    <definedName name="\Q" localSheetId="9">[2]Actual!#REF!</definedName>
    <definedName name="\Q" localSheetId="5">[2]Actual!#REF!</definedName>
    <definedName name="\Q" localSheetId="3">[2]Actual!#REF!</definedName>
    <definedName name="\Q" localSheetId="4">[2]Actual!#REF!</definedName>
    <definedName name="\Q" localSheetId="8">[2]Actual!#REF!</definedName>
    <definedName name="\Q">[2]Actual!#REF!</definedName>
    <definedName name="\R" localSheetId="6">#REF!</definedName>
    <definedName name="\R" localSheetId="7">#REF!</definedName>
    <definedName name="\R" localSheetId="9">#REF!</definedName>
    <definedName name="\R" localSheetId="5">#REF!</definedName>
    <definedName name="\R" localSheetId="3">#REF!</definedName>
    <definedName name="\R" localSheetId="4">#REF!</definedName>
    <definedName name="\R" localSheetId="8">#REF!</definedName>
    <definedName name="\R">#REF!</definedName>
    <definedName name="\S" localSheetId="6">#REF!</definedName>
    <definedName name="\S" localSheetId="7">#REF!</definedName>
    <definedName name="\S" localSheetId="9">#REF!</definedName>
    <definedName name="\S" localSheetId="5">#REF!</definedName>
    <definedName name="\S" localSheetId="3">#REF!</definedName>
    <definedName name="\S" localSheetId="4">#REF!</definedName>
    <definedName name="\S" localSheetId="8">#REF!</definedName>
    <definedName name="\S">#REF!</definedName>
    <definedName name="\TABLE1" localSheetId="6">#REF!</definedName>
    <definedName name="\TABLE1" localSheetId="7">#REF!</definedName>
    <definedName name="\TABLE1" localSheetId="9">#REF!</definedName>
    <definedName name="\TABLE1" localSheetId="5">#REF!</definedName>
    <definedName name="\TABLE1" localSheetId="3">#REF!</definedName>
    <definedName name="\TABLE1" localSheetId="4">#REF!</definedName>
    <definedName name="\TABLE1" localSheetId="8">#REF!</definedName>
    <definedName name="\TABLE1">#REF!</definedName>
    <definedName name="\TABLE2" localSheetId="6">#REF!</definedName>
    <definedName name="\TABLE2" localSheetId="7">#REF!</definedName>
    <definedName name="\TABLE2" localSheetId="9">#REF!</definedName>
    <definedName name="\TABLE2" localSheetId="5">#REF!</definedName>
    <definedName name="\TABLE2" localSheetId="3">#REF!</definedName>
    <definedName name="\TABLE2" localSheetId="4">#REF!</definedName>
    <definedName name="\TABLE2" localSheetId="8">#REF!</definedName>
    <definedName name="\TABLE2">#REF!</definedName>
    <definedName name="\TABLEA" localSheetId="6">#REF!</definedName>
    <definedName name="\TABLEA" localSheetId="7">#REF!</definedName>
    <definedName name="\TABLEA" localSheetId="9">#REF!</definedName>
    <definedName name="\TABLEA" localSheetId="5">#REF!</definedName>
    <definedName name="\TABLEA" localSheetId="3">#REF!</definedName>
    <definedName name="\TABLEA" localSheetId="4">#REF!</definedName>
    <definedName name="\TABLEA" localSheetId="8">#REF!</definedName>
    <definedName name="\TABLEA">#REF!</definedName>
    <definedName name="\TBL2" localSheetId="6">#REF!</definedName>
    <definedName name="\TBL2" localSheetId="7">#REF!</definedName>
    <definedName name="\TBL2" localSheetId="9">#REF!</definedName>
    <definedName name="\TBL2" localSheetId="5">#REF!</definedName>
    <definedName name="\TBL2" localSheetId="3">#REF!</definedName>
    <definedName name="\TBL2" localSheetId="4">#REF!</definedName>
    <definedName name="\TBL2" localSheetId="8">#REF!</definedName>
    <definedName name="\TBL2">#REF!</definedName>
    <definedName name="\TBL3" localSheetId="6">#REF!</definedName>
    <definedName name="\TBL3" localSheetId="7">#REF!</definedName>
    <definedName name="\TBL3" localSheetId="9">#REF!</definedName>
    <definedName name="\TBL3" localSheetId="5">#REF!</definedName>
    <definedName name="\TBL3" localSheetId="3">#REF!</definedName>
    <definedName name="\TBL3" localSheetId="4">#REF!</definedName>
    <definedName name="\TBL3" localSheetId="8">#REF!</definedName>
    <definedName name="\TBL3">#REF!</definedName>
    <definedName name="\TBL4" localSheetId="6">#REF!</definedName>
    <definedName name="\TBL4" localSheetId="7">#REF!</definedName>
    <definedName name="\TBL4" localSheetId="9">#REF!</definedName>
    <definedName name="\TBL4" localSheetId="5">#REF!</definedName>
    <definedName name="\TBL4" localSheetId="3">#REF!</definedName>
    <definedName name="\TBL4" localSheetId="4">#REF!</definedName>
    <definedName name="\TBL4" localSheetId="8">#REF!</definedName>
    <definedName name="\TBL4">#REF!</definedName>
    <definedName name="\TBL5" localSheetId="6">#REF!</definedName>
    <definedName name="\TBL5" localSheetId="7">#REF!</definedName>
    <definedName name="\TBL5" localSheetId="9">#REF!</definedName>
    <definedName name="\TBL5" localSheetId="5">#REF!</definedName>
    <definedName name="\TBL5" localSheetId="3">#REF!</definedName>
    <definedName name="\TBL5" localSheetId="4">#REF!</definedName>
    <definedName name="\TBL5" localSheetId="8">#REF!</definedName>
    <definedName name="\TBL5">#REF!</definedName>
    <definedName name="\W" localSheetId="6">#REF!</definedName>
    <definedName name="\W" localSheetId="7">#REF!</definedName>
    <definedName name="\W" localSheetId="9">#REF!</definedName>
    <definedName name="\W" localSheetId="5">#REF!</definedName>
    <definedName name="\W" localSheetId="3">#REF!</definedName>
    <definedName name="\W" localSheetId="4">#REF!</definedName>
    <definedName name="\W" localSheetId="8">#REF!</definedName>
    <definedName name="\W">#REF!</definedName>
    <definedName name="\WORK1" localSheetId="6">#REF!</definedName>
    <definedName name="\WORK1" localSheetId="7">#REF!</definedName>
    <definedName name="\WORK1" localSheetId="9">#REF!</definedName>
    <definedName name="\WORK1" localSheetId="5">#REF!</definedName>
    <definedName name="\WORK1" localSheetId="3">#REF!</definedName>
    <definedName name="\WORK1" localSheetId="4">#REF!</definedName>
    <definedName name="\WORK1" localSheetId="8">#REF!</definedName>
    <definedName name="\WORK1">#REF!</definedName>
    <definedName name="\X" localSheetId="6">#REF!</definedName>
    <definedName name="\X" localSheetId="7">#REF!</definedName>
    <definedName name="\X" localSheetId="9">#REF!</definedName>
    <definedName name="\X" localSheetId="5">#REF!</definedName>
    <definedName name="\X" localSheetId="3">#REF!</definedName>
    <definedName name="\X" localSheetId="4">#REF!</definedName>
    <definedName name="\X" localSheetId="8">#REF!</definedName>
    <definedName name="\X">#REF!</definedName>
    <definedName name="\Z" localSheetId="6">#REF!</definedName>
    <definedName name="\Z" localSheetId="7">#REF!</definedName>
    <definedName name="\Z" localSheetId="9">#REF!</definedName>
    <definedName name="\Z" localSheetId="5">#REF!</definedName>
    <definedName name="\Z" localSheetId="3">#REF!</definedName>
    <definedName name="\Z" localSheetId="4">#REF!</definedName>
    <definedName name="\Z" localSheetId="8">#REF!</definedName>
    <definedName name="\Z">#REF!</definedName>
    <definedName name="__123Graph_A" localSheetId="6" hidden="1">[3]Inputs!#REF!</definedName>
    <definedName name="__123Graph_A" localSheetId="7" hidden="1">[3]Inputs!#REF!</definedName>
    <definedName name="__123Graph_A" localSheetId="9" hidden="1">[3]Inputs!#REF!</definedName>
    <definedName name="__123Graph_A" localSheetId="2" hidden="1">[4]Inputs!#REF!</definedName>
    <definedName name="__123Graph_A" localSheetId="5" hidden="1">[3]Inputs!#REF!</definedName>
    <definedName name="__123Graph_A" localSheetId="3" hidden="1">[3]Inputs!#REF!</definedName>
    <definedName name="__123Graph_A" localSheetId="4" hidden="1">[3]Inputs!#REF!</definedName>
    <definedName name="__123Graph_A" localSheetId="8" hidden="1">[3]Inputs!#REF!</definedName>
    <definedName name="__123Graph_A" hidden="1">[5]Inputs!#REF!</definedName>
    <definedName name="__123Graph_B" localSheetId="6" hidden="1">[3]Inputs!#REF!</definedName>
    <definedName name="__123Graph_B" localSheetId="7" hidden="1">[3]Inputs!#REF!</definedName>
    <definedName name="__123Graph_B" localSheetId="9" hidden="1">[3]Inputs!#REF!</definedName>
    <definedName name="__123Graph_B" localSheetId="2" hidden="1">[4]Inputs!#REF!</definedName>
    <definedName name="__123Graph_B" localSheetId="5" hidden="1">[3]Inputs!#REF!</definedName>
    <definedName name="__123Graph_B" localSheetId="3" hidden="1">[3]Inputs!#REF!</definedName>
    <definedName name="__123Graph_B" localSheetId="4" hidden="1">[3]Inputs!#REF!</definedName>
    <definedName name="__123Graph_B" localSheetId="8" hidden="1">[3]Inputs!#REF!</definedName>
    <definedName name="__123Graph_B" hidden="1">[5]Inputs!#REF!</definedName>
    <definedName name="__123Graph_D" localSheetId="6" hidden="1">[3]Inputs!#REF!</definedName>
    <definedName name="__123Graph_D" localSheetId="7" hidden="1">[3]Inputs!#REF!</definedName>
    <definedName name="__123Graph_D" localSheetId="9" hidden="1">[3]Inputs!#REF!</definedName>
    <definedName name="__123Graph_D" localSheetId="2" hidden="1">[4]Inputs!#REF!</definedName>
    <definedName name="__123Graph_D" localSheetId="5" hidden="1">[3]Inputs!#REF!</definedName>
    <definedName name="__123Graph_D" localSheetId="3" hidden="1">[3]Inputs!#REF!</definedName>
    <definedName name="__123Graph_D" localSheetId="4" hidden="1">[3]Inputs!#REF!</definedName>
    <definedName name="__123Graph_D" localSheetId="8" hidden="1">[3]Inputs!#REF!</definedName>
    <definedName name="__123Graph_D" hidden="1">[5]Inputs!#REF!</definedName>
    <definedName name="_1Price_Ta" localSheetId="6">#REF!</definedName>
    <definedName name="_1Price_Ta" localSheetId="7">#REF!</definedName>
    <definedName name="_1Price_Ta" localSheetId="9">#REF!</definedName>
    <definedName name="_1Price_Ta" localSheetId="5">#REF!</definedName>
    <definedName name="_1Price_Ta" localSheetId="3">#REF!</definedName>
    <definedName name="_1Price_Ta" localSheetId="4">#REF!</definedName>
    <definedName name="_1Price_Ta" localSheetId="8">#REF!</definedName>
    <definedName name="_1Price_Ta">#REF!</definedName>
    <definedName name="_2Price_Ta" localSheetId="6">#REF!</definedName>
    <definedName name="_2Price_Ta" localSheetId="7">#REF!</definedName>
    <definedName name="_2Price_Ta" localSheetId="9">#REF!</definedName>
    <definedName name="_2Price_Ta" localSheetId="5">#REF!</definedName>
    <definedName name="_2Price_Ta" localSheetId="3">#REF!</definedName>
    <definedName name="_2Price_Ta" localSheetId="4">#REF!</definedName>
    <definedName name="_2Price_Ta" localSheetId="8">#REF!</definedName>
    <definedName name="_2Price_Ta">#REF!</definedName>
    <definedName name="_B" localSheetId="6">'[6]Rate Design'!#REF!</definedName>
    <definedName name="_B" localSheetId="7">'[6]Rate Design'!#REF!</definedName>
    <definedName name="_B" localSheetId="9">'[6]Rate Design'!#REF!</definedName>
    <definedName name="_B" localSheetId="5">'[6]Rate Design'!#REF!</definedName>
    <definedName name="_B" localSheetId="3">'[6]Rate Design'!#REF!</definedName>
    <definedName name="_B" localSheetId="4">'[6]Rate Design'!#REF!</definedName>
    <definedName name="_B" localSheetId="8">'[6]Rate Design'!#REF!</definedName>
    <definedName name="_B">'[6]Rate Design'!#REF!</definedName>
    <definedName name="_Fill" localSheetId="6" hidden="1">#REF!</definedName>
    <definedName name="_Fill" localSheetId="7" hidden="1">#REF!</definedName>
    <definedName name="_Fill" localSheetId="9" hidden="1">#REF!</definedName>
    <definedName name="_Fill" localSheetId="5" hidden="1">#REF!</definedName>
    <definedName name="_Fill" localSheetId="3" hidden="1">#REF!</definedName>
    <definedName name="_Fill" localSheetId="4" hidden="1">#REF!</definedName>
    <definedName name="_Fill" localSheetId="8" hidden="1">#REF!</definedName>
    <definedName name="_Fill" hidden="1">#REF!</definedName>
    <definedName name="_Key1" localSheetId="6" hidden="1">#REF!</definedName>
    <definedName name="_Key1" localSheetId="7" hidden="1">#REF!</definedName>
    <definedName name="_Key1" localSheetId="9" hidden="1">#REF!</definedName>
    <definedName name="_Key1" localSheetId="5" hidden="1">#REF!</definedName>
    <definedName name="_Key1" localSheetId="3" hidden="1">#REF!</definedName>
    <definedName name="_Key1" localSheetId="4" hidden="1">#REF!</definedName>
    <definedName name="_Key1" localSheetId="8" hidden="1">#REF!</definedName>
    <definedName name="_Key1" hidden="1">#REF!</definedName>
    <definedName name="_Key2" localSheetId="6" hidden="1">#REF!</definedName>
    <definedName name="_Key2" localSheetId="7" hidden="1">#REF!</definedName>
    <definedName name="_Key2" localSheetId="9" hidden="1">#REF!</definedName>
    <definedName name="_Key2" localSheetId="5" hidden="1">#REF!</definedName>
    <definedName name="_Key2" localSheetId="3" hidden="1">#REF!</definedName>
    <definedName name="_Key2" localSheetId="4" hidden="1">#REF!</definedName>
    <definedName name="_Key2" localSheetId="8" hidden="1">#REF!</definedName>
    <definedName name="_Key2" hidden="1">#REF!</definedName>
    <definedName name="_MEN2" localSheetId="6">[1]Jan!#REF!</definedName>
    <definedName name="_MEN2" localSheetId="7">[1]Jan!#REF!</definedName>
    <definedName name="_MEN2" localSheetId="9">[1]Jan!#REF!</definedName>
    <definedName name="_MEN2" localSheetId="5">[1]Jan!#REF!</definedName>
    <definedName name="_MEN2" localSheetId="3">[1]Jan!#REF!</definedName>
    <definedName name="_MEN2" localSheetId="4">[1]Jan!#REF!</definedName>
    <definedName name="_MEN2" localSheetId="8">[1]Jan!#REF!</definedName>
    <definedName name="_MEN2">[1]Jan!#REF!</definedName>
    <definedName name="_MEN3" localSheetId="6">[1]Jan!#REF!</definedName>
    <definedName name="_MEN3" localSheetId="7">[1]Jan!#REF!</definedName>
    <definedName name="_MEN3" localSheetId="9">[1]Jan!#REF!</definedName>
    <definedName name="_MEN3" localSheetId="5">[1]Jan!#REF!</definedName>
    <definedName name="_MEN3" localSheetId="3">[1]Jan!#REF!</definedName>
    <definedName name="_MEN3" localSheetId="4">[1]Jan!#REF!</definedName>
    <definedName name="_MEN3" localSheetId="8">[1]Jan!#REF!</definedName>
    <definedName name="_MEN3">[1]Jan!#REF!</definedName>
    <definedName name="_Order1" hidden="1">0</definedName>
    <definedName name="_Order2" hidden="1">0</definedName>
    <definedName name="_P" localSheetId="6">#REF!</definedName>
    <definedName name="_P" localSheetId="7">#REF!</definedName>
    <definedName name="_P" localSheetId="9">#REF!</definedName>
    <definedName name="_P" localSheetId="5">#REF!</definedName>
    <definedName name="_P" localSheetId="3">#REF!</definedName>
    <definedName name="_P" localSheetId="4">#REF!</definedName>
    <definedName name="_P" localSheetId="8">#REF!</definedName>
    <definedName name="_P">#REF!</definedName>
    <definedName name="_Sort" localSheetId="6" hidden="1">#REF!</definedName>
    <definedName name="_Sort" localSheetId="7" hidden="1">#REF!</definedName>
    <definedName name="_Sort" localSheetId="9" hidden="1">#REF!</definedName>
    <definedName name="_Sort" localSheetId="5" hidden="1">#REF!</definedName>
    <definedName name="_Sort" localSheetId="3" hidden="1">#REF!</definedName>
    <definedName name="_Sort" localSheetId="4" hidden="1">#REF!</definedName>
    <definedName name="_Sort" localSheetId="8" hidden="1">#REF!</definedName>
    <definedName name="_Sort" hidden="1">#REF!</definedName>
    <definedName name="_TOP1" localSheetId="6">[1]Jan!#REF!</definedName>
    <definedName name="_TOP1" localSheetId="7">[1]Jan!#REF!</definedName>
    <definedName name="_TOP1" localSheetId="9">[1]Jan!#REF!</definedName>
    <definedName name="_TOP1" localSheetId="5">[1]Jan!#REF!</definedName>
    <definedName name="_TOP1" localSheetId="3">[1]Jan!#REF!</definedName>
    <definedName name="_TOP1" localSheetId="4">[1]Jan!#REF!</definedName>
    <definedName name="_TOP1" localSheetId="8">[1]Jan!#REF!</definedName>
    <definedName name="_TOP1">[1]Jan!#REF!</definedName>
    <definedName name="a" localSheetId="6" hidden="1">#REF!</definedName>
    <definedName name="a" localSheetId="7" hidden="1">#REF!</definedName>
    <definedName name="a" localSheetId="9" hidden="1">#REF!</definedName>
    <definedName name="a" localSheetId="2" hidden="1">#REF!</definedName>
    <definedName name="a" localSheetId="5" hidden="1">#REF!</definedName>
    <definedName name="a" localSheetId="3" hidden="1">#REF!</definedName>
    <definedName name="a" localSheetId="4" hidden="1">#REF!</definedName>
    <definedName name="a" localSheetId="8" hidden="1">#REF!</definedName>
    <definedName name="a" hidden="1">'[5]DSM Output'!$J$21:$J$23</definedName>
    <definedName name="AccessDatabase" hidden="1">"I:\COMTREL\FINICLE\TradeSummary.mdb"</definedName>
    <definedName name="Acct108364" localSheetId="6">'[7]Func Study'!#REF!</definedName>
    <definedName name="Acct108364" localSheetId="7">'[7]Func Study'!#REF!</definedName>
    <definedName name="Acct108364" localSheetId="9">'[7]Func Study'!#REF!</definedName>
    <definedName name="Acct108364" localSheetId="5">'[7]Func Study'!#REF!</definedName>
    <definedName name="Acct108364" localSheetId="3">'[7]Func Study'!#REF!</definedName>
    <definedName name="Acct108364" localSheetId="4">'[7]Func Study'!#REF!</definedName>
    <definedName name="Acct108364" localSheetId="8">'[7]Func Study'!#REF!</definedName>
    <definedName name="Acct108364">'[7]Func Study'!#REF!</definedName>
    <definedName name="Acct108364S" localSheetId="6">'[7]Func Study'!#REF!</definedName>
    <definedName name="Acct108364S" localSheetId="7">'[7]Func Study'!#REF!</definedName>
    <definedName name="Acct108364S" localSheetId="9">'[7]Func Study'!#REF!</definedName>
    <definedName name="Acct108364S" localSheetId="5">'[7]Func Study'!#REF!</definedName>
    <definedName name="Acct108364S" localSheetId="3">'[7]Func Study'!#REF!</definedName>
    <definedName name="Acct108364S" localSheetId="4">'[7]Func Study'!#REF!</definedName>
    <definedName name="Acct108364S" localSheetId="8">'[7]Func Study'!#REF!</definedName>
    <definedName name="Acct108364S">'[7]Func Study'!#REF!</definedName>
    <definedName name="Acct228.42TROJD" localSheetId="6">'[8]Func Study'!#REF!</definedName>
    <definedName name="Acct228.42TROJD" localSheetId="7">'[8]Func Study'!#REF!</definedName>
    <definedName name="Acct228.42TROJD" localSheetId="9">'[8]Func Study'!#REF!</definedName>
    <definedName name="Acct228.42TROJD" localSheetId="5">'[8]Func Study'!#REF!</definedName>
    <definedName name="Acct228.42TROJD" localSheetId="3">'[8]Func Study'!#REF!</definedName>
    <definedName name="Acct228.42TROJD" localSheetId="4">'[8]Func Study'!#REF!</definedName>
    <definedName name="Acct228.42TROJD" localSheetId="8">'[8]Func Study'!#REF!</definedName>
    <definedName name="Acct228.42TROJD">'[8]Func Study'!#REF!</definedName>
    <definedName name="Acct2281SO">'[9]Func Study'!$H$2190</definedName>
    <definedName name="Acct2283SO">'[9]Func Study'!$H$2198</definedName>
    <definedName name="Acct22842TROJD" localSheetId="6">'[8]Func Study'!#REF!</definedName>
    <definedName name="Acct22842TROJD" localSheetId="7">'[8]Func Study'!#REF!</definedName>
    <definedName name="Acct22842TROJD" localSheetId="9">'[8]Func Study'!#REF!</definedName>
    <definedName name="Acct22842TROJD" localSheetId="5">'[8]Func Study'!#REF!</definedName>
    <definedName name="Acct22842TROJD" localSheetId="3">'[8]Func Study'!#REF!</definedName>
    <definedName name="Acct22842TROJD" localSheetId="4">'[8]Func Study'!#REF!</definedName>
    <definedName name="Acct22842TROJD" localSheetId="8">'[8]Func Study'!#REF!</definedName>
    <definedName name="Acct22842TROJD">'[8]Func Study'!#REF!</definedName>
    <definedName name="Acct228SO">'[9]Func Study'!$H$2194</definedName>
    <definedName name="Acct350">'[9]Func Study'!$H$1628</definedName>
    <definedName name="Acct352">'[9]Func Study'!$H$1635</definedName>
    <definedName name="Acct353">'[9]Func Study'!$H$1641</definedName>
    <definedName name="Acct354">'[9]Func Study'!$H$1647</definedName>
    <definedName name="Acct355">'[9]Func Study'!$H$1654</definedName>
    <definedName name="Acct356">'[9]Func Study'!$H$1660</definedName>
    <definedName name="Acct357">'[9]Func Study'!$H$1666</definedName>
    <definedName name="Acct358">'[9]Func Study'!$H$1672</definedName>
    <definedName name="Acct359">'[9]Func Study'!$H$1678</definedName>
    <definedName name="Acct360">'[9]Func Study'!$H$1698</definedName>
    <definedName name="Acct361">'[9]Func Study'!$H$1704</definedName>
    <definedName name="Acct362">'[9]Func Study'!$H$1710</definedName>
    <definedName name="Acct364">'[9]Func Study'!$H$1717</definedName>
    <definedName name="Acct365">'[9]Func Study'!$H$1724</definedName>
    <definedName name="Acct366">'[9]Func Study'!$H$1731</definedName>
    <definedName name="Acct367">'[9]Func Study'!$H$1738</definedName>
    <definedName name="Acct368">'[9]Func Study'!$H$1744</definedName>
    <definedName name="Acct369">'[9]Func Study'!$H$1751</definedName>
    <definedName name="Acct370">'[9]Func Study'!$H$1762</definedName>
    <definedName name="Acct371">'[9]Func Study'!$H$1769</definedName>
    <definedName name="Acct372">'[9]Func Study'!$H$1776</definedName>
    <definedName name="Acct372A">'[9]Func Study'!$H$1775</definedName>
    <definedName name="Acct372DP">'[9]Func Study'!$H$1773</definedName>
    <definedName name="Acct372DS">'[9]Func Study'!$H$1774</definedName>
    <definedName name="Acct373">'[9]Func Study'!$H$1782</definedName>
    <definedName name="Acct41011" localSheetId="6">'[10]Functional Study'!#REF!</definedName>
    <definedName name="Acct41011" localSheetId="7">'[10]Functional Study'!#REF!</definedName>
    <definedName name="Acct41011" localSheetId="9">'[10]Functional Study'!#REF!</definedName>
    <definedName name="Acct41011" localSheetId="5">'[10]Functional Study'!#REF!</definedName>
    <definedName name="Acct41011" localSheetId="3">'[10]Functional Study'!#REF!</definedName>
    <definedName name="Acct41011" localSheetId="4">'[10]Functional Study'!#REF!</definedName>
    <definedName name="Acct41011" localSheetId="8">'[10]Functional Study'!#REF!</definedName>
    <definedName name="Acct41011">'[10]Functional Study'!#REF!</definedName>
    <definedName name="Acct41011BADDEBT" localSheetId="6">'[10]Functional Study'!#REF!</definedName>
    <definedName name="Acct41011BADDEBT" localSheetId="7">'[10]Functional Study'!#REF!</definedName>
    <definedName name="Acct41011BADDEBT" localSheetId="9">'[10]Functional Study'!#REF!</definedName>
    <definedName name="Acct41011BADDEBT" localSheetId="5">'[10]Functional Study'!#REF!</definedName>
    <definedName name="Acct41011BADDEBT" localSheetId="3">'[10]Functional Study'!#REF!</definedName>
    <definedName name="Acct41011BADDEBT" localSheetId="4">'[10]Functional Study'!#REF!</definedName>
    <definedName name="Acct41011BADDEBT" localSheetId="8">'[10]Functional Study'!#REF!</definedName>
    <definedName name="Acct41011BADDEBT">'[10]Functional Study'!#REF!</definedName>
    <definedName name="Acct41011DITEXP" localSheetId="6">'[10]Functional Study'!#REF!</definedName>
    <definedName name="Acct41011DITEXP" localSheetId="7">'[10]Functional Study'!#REF!</definedName>
    <definedName name="Acct41011DITEXP" localSheetId="9">'[10]Functional Study'!#REF!</definedName>
    <definedName name="Acct41011DITEXP" localSheetId="5">'[10]Functional Study'!#REF!</definedName>
    <definedName name="Acct41011DITEXP" localSheetId="3">'[10]Functional Study'!#REF!</definedName>
    <definedName name="Acct41011DITEXP" localSheetId="4">'[10]Functional Study'!#REF!</definedName>
    <definedName name="Acct41011DITEXP" localSheetId="8">'[10]Functional Study'!#REF!</definedName>
    <definedName name="Acct41011DITEXP">'[10]Functional Study'!#REF!</definedName>
    <definedName name="Acct41011S" localSheetId="6">'[10]Functional Study'!#REF!</definedName>
    <definedName name="Acct41011S" localSheetId="7">'[10]Functional Study'!#REF!</definedName>
    <definedName name="Acct41011S" localSheetId="9">'[10]Functional Study'!#REF!</definedName>
    <definedName name="Acct41011S" localSheetId="5">'[10]Functional Study'!#REF!</definedName>
    <definedName name="Acct41011S" localSheetId="3">'[10]Functional Study'!#REF!</definedName>
    <definedName name="Acct41011S" localSheetId="4">'[10]Functional Study'!#REF!</definedName>
    <definedName name="Acct41011S" localSheetId="8">'[10]Functional Study'!#REF!</definedName>
    <definedName name="Acct41011S">'[10]Functional Study'!#REF!</definedName>
    <definedName name="Acct41011SE" localSheetId="6">'[10]Functional Study'!#REF!</definedName>
    <definedName name="Acct41011SE" localSheetId="7">'[10]Functional Study'!#REF!</definedName>
    <definedName name="Acct41011SE" localSheetId="9">'[10]Functional Study'!#REF!</definedName>
    <definedName name="Acct41011SE" localSheetId="5">'[10]Functional Study'!#REF!</definedName>
    <definedName name="Acct41011SE" localSheetId="3">'[10]Functional Study'!#REF!</definedName>
    <definedName name="Acct41011SE" localSheetId="4">'[10]Functional Study'!#REF!</definedName>
    <definedName name="Acct41011SE" localSheetId="8">'[10]Functional Study'!#REF!</definedName>
    <definedName name="Acct41011SE">'[10]Functional Study'!#REF!</definedName>
    <definedName name="Acct41011SG1" localSheetId="6">'[10]Functional Study'!#REF!</definedName>
    <definedName name="Acct41011SG1" localSheetId="7">'[10]Functional Study'!#REF!</definedName>
    <definedName name="Acct41011SG1" localSheetId="9">'[10]Functional Study'!#REF!</definedName>
    <definedName name="Acct41011SG1" localSheetId="5">'[10]Functional Study'!#REF!</definedName>
    <definedName name="Acct41011SG1" localSheetId="3">'[10]Functional Study'!#REF!</definedName>
    <definedName name="Acct41011SG1" localSheetId="4">'[10]Functional Study'!#REF!</definedName>
    <definedName name="Acct41011SG1" localSheetId="8">'[10]Functional Study'!#REF!</definedName>
    <definedName name="Acct41011SG1">'[10]Functional Study'!#REF!</definedName>
    <definedName name="Acct41011SG2" localSheetId="6">'[10]Functional Study'!#REF!</definedName>
    <definedName name="Acct41011SG2" localSheetId="7">'[10]Functional Study'!#REF!</definedName>
    <definedName name="Acct41011SG2" localSheetId="9">'[10]Functional Study'!#REF!</definedName>
    <definedName name="Acct41011SG2" localSheetId="5">'[10]Functional Study'!#REF!</definedName>
    <definedName name="Acct41011SG2" localSheetId="3">'[10]Functional Study'!#REF!</definedName>
    <definedName name="Acct41011SG2" localSheetId="4">'[10]Functional Study'!#REF!</definedName>
    <definedName name="Acct41011SG2" localSheetId="8">'[10]Functional Study'!#REF!</definedName>
    <definedName name="Acct41011SG2">'[10]Functional Study'!#REF!</definedName>
    <definedName name="ACCT41011SGCT" localSheetId="6">'[10]Functional Study'!#REF!</definedName>
    <definedName name="ACCT41011SGCT" localSheetId="7">'[10]Functional Study'!#REF!</definedName>
    <definedName name="ACCT41011SGCT" localSheetId="9">'[10]Functional Study'!#REF!</definedName>
    <definedName name="ACCT41011SGCT" localSheetId="5">'[10]Functional Study'!#REF!</definedName>
    <definedName name="ACCT41011SGCT" localSheetId="3">'[10]Functional Study'!#REF!</definedName>
    <definedName name="ACCT41011SGCT" localSheetId="4">'[10]Functional Study'!#REF!</definedName>
    <definedName name="ACCT41011SGCT" localSheetId="8">'[10]Functional Study'!#REF!</definedName>
    <definedName name="ACCT41011SGCT">'[10]Functional Study'!#REF!</definedName>
    <definedName name="Acct41011SGPP" localSheetId="6">'[10]Functional Study'!#REF!</definedName>
    <definedName name="Acct41011SGPP" localSheetId="7">'[10]Functional Study'!#REF!</definedName>
    <definedName name="Acct41011SGPP" localSheetId="9">'[10]Functional Study'!#REF!</definedName>
    <definedName name="Acct41011SGPP" localSheetId="5">'[10]Functional Study'!#REF!</definedName>
    <definedName name="Acct41011SGPP" localSheetId="3">'[10]Functional Study'!#REF!</definedName>
    <definedName name="Acct41011SGPP" localSheetId="4">'[10]Functional Study'!#REF!</definedName>
    <definedName name="Acct41011SGPP" localSheetId="8">'[10]Functional Study'!#REF!</definedName>
    <definedName name="Acct41011SGPP">'[10]Functional Study'!#REF!</definedName>
    <definedName name="Acct41011SNP" localSheetId="6">'[10]Functional Study'!#REF!</definedName>
    <definedName name="Acct41011SNP" localSheetId="7">'[10]Functional Study'!#REF!</definedName>
    <definedName name="Acct41011SNP" localSheetId="9">'[10]Functional Study'!#REF!</definedName>
    <definedName name="Acct41011SNP" localSheetId="5">'[10]Functional Study'!#REF!</definedName>
    <definedName name="Acct41011SNP" localSheetId="3">'[10]Functional Study'!#REF!</definedName>
    <definedName name="Acct41011SNP" localSheetId="4">'[10]Functional Study'!#REF!</definedName>
    <definedName name="Acct41011SNP" localSheetId="8">'[10]Functional Study'!#REF!</definedName>
    <definedName name="Acct41011SNP">'[10]Functional Study'!#REF!</definedName>
    <definedName name="ACCT41011SNPD" localSheetId="6">'[10]Functional Study'!#REF!</definedName>
    <definedName name="ACCT41011SNPD" localSheetId="7">'[10]Functional Study'!#REF!</definedName>
    <definedName name="ACCT41011SNPD" localSheetId="9">'[10]Functional Study'!#REF!</definedName>
    <definedName name="ACCT41011SNPD" localSheetId="5">'[10]Functional Study'!#REF!</definedName>
    <definedName name="ACCT41011SNPD" localSheetId="3">'[10]Functional Study'!#REF!</definedName>
    <definedName name="ACCT41011SNPD" localSheetId="4">'[10]Functional Study'!#REF!</definedName>
    <definedName name="ACCT41011SNPD" localSheetId="8">'[10]Functional Study'!#REF!</definedName>
    <definedName name="ACCT41011SNPD">'[10]Functional Study'!#REF!</definedName>
    <definedName name="Acct41011SO" localSheetId="6">'[10]Functional Study'!#REF!</definedName>
    <definedName name="Acct41011SO" localSheetId="7">'[10]Functional Study'!#REF!</definedName>
    <definedName name="Acct41011SO" localSheetId="9">'[10]Functional Study'!#REF!</definedName>
    <definedName name="Acct41011SO" localSheetId="5">'[10]Functional Study'!#REF!</definedName>
    <definedName name="Acct41011SO" localSheetId="3">'[10]Functional Study'!#REF!</definedName>
    <definedName name="Acct41011SO" localSheetId="4">'[10]Functional Study'!#REF!</definedName>
    <definedName name="Acct41011SO" localSheetId="8">'[10]Functional Study'!#REF!</definedName>
    <definedName name="Acct41011SO">'[10]Functional Study'!#REF!</definedName>
    <definedName name="Acct41011TROJP" localSheetId="6">'[10]Functional Study'!#REF!</definedName>
    <definedName name="Acct41011TROJP" localSheetId="7">'[10]Functional Study'!#REF!</definedName>
    <definedName name="Acct41011TROJP" localSheetId="9">'[10]Functional Study'!#REF!</definedName>
    <definedName name="Acct41011TROJP" localSheetId="5">'[10]Functional Study'!#REF!</definedName>
    <definedName name="Acct41011TROJP" localSheetId="3">'[10]Functional Study'!#REF!</definedName>
    <definedName name="Acct41011TROJP" localSheetId="4">'[10]Functional Study'!#REF!</definedName>
    <definedName name="Acct41011TROJP" localSheetId="8">'[10]Functional Study'!#REF!</definedName>
    <definedName name="Acct41011TROJP">'[10]Functional Study'!#REF!</definedName>
    <definedName name="Acct41111" localSheetId="6">'[10]Functional Study'!#REF!</definedName>
    <definedName name="Acct41111" localSheetId="7">'[10]Functional Study'!#REF!</definedName>
    <definedName name="Acct41111" localSheetId="9">'[10]Functional Study'!#REF!</definedName>
    <definedName name="Acct41111" localSheetId="5">'[10]Functional Study'!#REF!</definedName>
    <definedName name="Acct41111" localSheetId="3">'[10]Functional Study'!#REF!</definedName>
    <definedName name="Acct41111" localSheetId="4">'[10]Functional Study'!#REF!</definedName>
    <definedName name="Acct41111" localSheetId="8">'[10]Functional Study'!#REF!</definedName>
    <definedName name="Acct41111">'[10]Functional Study'!#REF!</definedName>
    <definedName name="Acct41111BADDEBT" localSheetId="6">'[10]Functional Study'!#REF!</definedName>
    <definedName name="Acct41111BADDEBT" localSheetId="7">'[10]Functional Study'!#REF!</definedName>
    <definedName name="Acct41111BADDEBT" localSheetId="9">'[10]Functional Study'!#REF!</definedName>
    <definedName name="Acct41111BADDEBT" localSheetId="5">'[10]Functional Study'!#REF!</definedName>
    <definedName name="Acct41111BADDEBT" localSheetId="3">'[10]Functional Study'!#REF!</definedName>
    <definedName name="Acct41111BADDEBT" localSheetId="4">'[10]Functional Study'!#REF!</definedName>
    <definedName name="Acct41111BADDEBT" localSheetId="8">'[10]Functional Study'!#REF!</definedName>
    <definedName name="Acct41111BADDEBT">'[10]Functional Study'!#REF!</definedName>
    <definedName name="Acct41111DITEXP" localSheetId="6">'[10]Functional Study'!#REF!</definedName>
    <definedName name="Acct41111DITEXP" localSheetId="7">'[10]Functional Study'!#REF!</definedName>
    <definedName name="Acct41111DITEXP" localSheetId="9">'[10]Functional Study'!#REF!</definedName>
    <definedName name="Acct41111DITEXP" localSheetId="5">'[10]Functional Study'!#REF!</definedName>
    <definedName name="Acct41111DITEXP" localSheetId="3">'[10]Functional Study'!#REF!</definedName>
    <definedName name="Acct41111DITEXP" localSheetId="4">'[10]Functional Study'!#REF!</definedName>
    <definedName name="Acct41111DITEXP" localSheetId="8">'[10]Functional Study'!#REF!</definedName>
    <definedName name="Acct41111DITEXP">'[10]Functional Study'!#REF!</definedName>
    <definedName name="Acct41111S" localSheetId="6">'[10]Functional Study'!#REF!</definedName>
    <definedName name="Acct41111S" localSheetId="7">'[10]Functional Study'!#REF!</definedName>
    <definedName name="Acct41111S" localSheetId="9">'[10]Functional Study'!#REF!</definedName>
    <definedName name="Acct41111S" localSheetId="5">'[10]Functional Study'!#REF!</definedName>
    <definedName name="Acct41111S" localSheetId="3">'[10]Functional Study'!#REF!</definedName>
    <definedName name="Acct41111S" localSheetId="4">'[10]Functional Study'!#REF!</definedName>
    <definedName name="Acct41111S" localSheetId="8">'[10]Functional Study'!#REF!</definedName>
    <definedName name="Acct41111S">'[10]Functional Study'!#REF!</definedName>
    <definedName name="Acct41111SE" localSheetId="6">'[10]Functional Study'!#REF!</definedName>
    <definedName name="Acct41111SE" localSheetId="7">'[10]Functional Study'!#REF!</definedName>
    <definedName name="Acct41111SE" localSheetId="9">'[10]Functional Study'!#REF!</definedName>
    <definedName name="Acct41111SE" localSheetId="5">'[10]Functional Study'!#REF!</definedName>
    <definedName name="Acct41111SE" localSheetId="3">'[10]Functional Study'!#REF!</definedName>
    <definedName name="Acct41111SE" localSheetId="4">'[10]Functional Study'!#REF!</definedName>
    <definedName name="Acct41111SE" localSheetId="8">'[10]Functional Study'!#REF!</definedName>
    <definedName name="Acct41111SE">'[10]Functional Study'!#REF!</definedName>
    <definedName name="Acct41111SG1" localSheetId="6">'[10]Functional Study'!#REF!</definedName>
    <definedName name="Acct41111SG1" localSheetId="7">'[10]Functional Study'!#REF!</definedName>
    <definedName name="Acct41111SG1" localSheetId="9">'[10]Functional Study'!#REF!</definedName>
    <definedName name="Acct41111SG1" localSheetId="5">'[10]Functional Study'!#REF!</definedName>
    <definedName name="Acct41111SG1" localSheetId="3">'[10]Functional Study'!#REF!</definedName>
    <definedName name="Acct41111SG1" localSheetId="4">'[10]Functional Study'!#REF!</definedName>
    <definedName name="Acct41111SG1" localSheetId="8">'[10]Functional Study'!#REF!</definedName>
    <definedName name="Acct41111SG1">'[10]Functional Study'!#REF!</definedName>
    <definedName name="Acct41111SG2" localSheetId="6">'[10]Functional Study'!#REF!</definedName>
    <definedName name="Acct41111SG2" localSheetId="7">'[10]Functional Study'!#REF!</definedName>
    <definedName name="Acct41111SG2" localSheetId="9">'[10]Functional Study'!#REF!</definedName>
    <definedName name="Acct41111SG2" localSheetId="5">'[10]Functional Study'!#REF!</definedName>
    <definedName name="Acct41111SG2" localSheetId="3">'[10]Functional Study'!#REF!</definedName>
    <definedName name="Acct41111SG2" localSheetId="4">'[10]Functional Study'!#REF!</definedName>
    <definedName name="Acct41111SG2" localSheetId="8">'[10]Functional Study'!#REF!</definedName>
    <definedName name="Acct41111SG2">'[10]Functional Study'!#REF!</definedName>
    <definedName name="Acct41111SG3" localSheetId="6">'[10]Functional Study'!#REF!</definedName>
    <definedName name="Acct41111SG3" localSheetId="7">'[10]Functional Study'!#REF!</definedName>
    <definedName name="Acct41111SG3" localSheetId="9">'[10]Functional Study'!#REF!</definedName>
    <definedName name="Acct41111SG3" localSheetId="5">'[10]Functional Study'!#REF!</definedName>
    <definedName name="Acct41111SG3" localSheetId="3">'[10]Functional Study'!#REF!</definedName>
    <definedName name="Acct41111SG3" localSheetId="4">'[10]Functional Study'!#REF!</definedName>
    <definedName name="Acct41111SG3" localSheetId="8">'[10]Functional Study'!#REF!</definedName>
    <definedName name="Acct41111SG3">'[10]Functional Study'!#REF!</definedName>
    <definedName name="Acct41111SGPP" localSheetId="6">'[10]Functional Study'!#REF!</definedName>
    <definedName name="Acct41111SGPP" localSheetId="7">'[10]Functional Study'!#REF!</definedName>
    <definedName name="Acct41111SGPP" localSheetId="9">'[10]Functional Study'!#REF!</definedName>
    <definedName name="Acct41111SGPP" localSheetId="5">'[10]Functional Study'!#REF!</definedName>
    <definedName name="Acct41111SGPP" localSheetId="3">'[10]Functional Study'!#REF!</definedName>
    <definedName name="Acct41111SGPP" localSheetId="4">'[10]Functional Study'!#REF!</definedName>
    <definedName name="Acct41111SGPP" localSheetId="8">'[10]Functional Study'!#REF!</definedName>
    <definedName name="Acct41111SGPP">'[10]Functional Study'!#REF!</definedName>
    <definedName name="Acct41111SNP" localSheetId="6">'[10]Functional Study'!#REF!</definedName>
    <definedName name="Acct41111SNP" localSheetId="7">'[10]Functional Study'!#REF!</definedName>
    <definedName name="Acct41111SNP" localSheetId="9">'[10]Functional Study'!#REF!</definedName>
    <definedName name="Acct41111SNP" localSheetId="5">'[10]Functional Study'!#REF!</definedName>
    <definedName name="Acct41111SNP" localSheetId="3">'[10]Functional Study'!#REF!</definedName>
    <definedName name="Acct41111SNP" localSheetId="4">'[10]Functional Study'!#REF!</definedName>
    <definedName name="Acct41111SNP" localSheetId="8">'[10]Functional Study'!#REF!</definedName>
    <definedName name="Acct41111SNP">'[10]Functional Study'!#REF!</definedName>
    <definedName name="Acct41111SNTP" localSheetId="6">'[10]Functional Study'!#REF!</definedName>
    <definedName name="Acct41111SNTP" localSheetId="7">'[10]Functional Study'!#REF!</definedName>
    <definedName name="Acct41111SNTP" localSheetId="9">'[10]Functional Study'!#REF!</definedName>
    <definedName name="Acct41111SNTP" localSheetId="5">'[10]Functional Study'!#REF!</definedName>
    <definedName name="Acct41111SNTP" localSheetId="3">'[10]Functional Study'!#REF!</definedName>
    <definedName name="Acct41111SNTP" localSheetId="4">'[10]Functional Study'!#REF!</definedName>
    <definedName name="Acct41111SNTP" localSheetId="8">'[10]Functional Study'!#REF!</definedName>
    <definedName name="Acct41111SNTP">'[10]Functional Study'!#REF!</definedName>
    <definedName name="Acct41111SO" localSheetId="6">'[10]Functional Study'!#REF!</definedName>
    <definedName name="Acct41111SO" localSheetId="7">'[10]Functional Study'!#REF!</definedName>
    <definedName name="Acct41111SO" localSheetId="9">'[10]Functional Study'!#REF!</definedName>
    <definedName name="Acct41111SO" localSheetId="5">'[10]Functional Study'!#REF!</definedName>
    <definedName name="Acct41111SO" localSheetId="3">'[10]Functional Study'!#REF!</definedName>
    <definedName name="Acct41111SO" localSheetId="4">'[10]Functional Study'!#REF!</definedName>
    <definedName name="Acct41111SO" localSheetId="8">'[10]Functional Study'!#REF!</definedName>
    <definedName name="Acct41111SO">'[10]Functional Study'!#REF!</definedName>
    <definedName name="Acct41111TROJP" localSheetId="6">'[10]Functional Study'!#REF!</definedName>
    <definedName name="Acct41111TROJP" localSheetId="7">'[10]Functional Study'!#REF!</definedName>
    <definedName name="Acct41111TROJP" localSheetId="9">'[10]Functional Study'!#REF!</definedName>
    <definedName name="Acct41111TROJP" localSheetId="5">'[10]Functional Study'!#REF!</definedName>
    <definedName name="Acct41111TROJP" localSheetId="3">'[10]Functional Study'!#REF!</definedName>
    <definedName name="Acct41111TROJP" localSheetId="4">'[10]Functional Study'!#REF!</definedName>
    <definedName name="Acct41111TROJP" localSheetId="8">'[10]Functional Study'!#REF!</definedName>
    <definedName name="Acct41111TROJP">'[10]Functional Study'!#REF!</definedName>
    <definedName name="Acct411BADDEBT" localSheetId="6">'[10]Functional Study'!#REF!</definedName>
    <definedName name="Acct411BADDEBT" localSheetId="7">'[10]Functional Study'!#REF!</definedName>
    <definedName name="Acct411BADDEBT" localSheetId="9">'[10]Functional Study'!#REF!</definedName>
    <definedName name="Acct411BADDEBT" localSheetId="5">'[10]Functional Study'!#REF!</definedName>
    <definedName name="Acct411BADDEBT" localSheetId="3">'[10]Functional Study'!#REF!</definedName>
    <definedName name="Acct411BADDEBT" localSheetId="4">'[10]Functional Study'!#REF!</definedName>
    <definedName name="Acct411BADDEBT" localSheetId="8">'[10]Functional Study'!#REF!</definedName>
    <definedName name="Acct411BADDEBT">'[10]Functional Study'!#REF!</definedName>
    <definedName name="Acct411DGP" localSheetId="6">'[10]Functional Study'!#REF!</definedName>
    <definedName name="Acct411DGP" localSheetId="7">'[10]Functional Study'!#REF!</definedName>
    <definedName name="Acct411DGP" localSheetId="9">'[10]Functional Study'!#REF!</definedName>
    <definedName name="Acct411DGP" localSheetId="5">'[10]Functional Study'!#REF!</definedName>
    <definedName name="Acct411DGP" localSheetId="3">'[10]Functional Study'!#REF!</definedName>
    <definedName name="Acct411DGP" localSheetId="4">'[10]Functional Study'!#REF!</definedName>
    <definedName name="Acct411DGP" localSheetId="8">'[10]Functional Study'!#REF!</definedName>
    <definedName name="Acct411DGP">'[10]Functional Study'!#REF!</definedName>
    <definedName name="Acct411DGU" localSheetId="6">'[10]Functional Study'!#REF!</definedName>
    <definedName name="Acct411DGU" localSheetId="7">'[10]Functional Study'!#REF!</definedName>
    <definedName name="Acct411DGU" localSheetId="9">'[10]Functional Study'!#REF!</definedName>
    <definedName name="Acct411DGU" localSheetId="5">'[10]Functional Study'!#REF!</definedName>
    <definedName name="Acct411DGU" localSheetId="3">'[10]Functional Study'!#REF!</definedName>
    <definedName name="Acct411DGU" localSheetId="4">'[10]Functional Study'!#REF!</definedName>
    <definedName name="Acct411DGU" localSheetId="8">'[10]Functional Study'!#REF!</definedName>
    <definedName name="Acct411DGU">'[10]Functional Study'!#REF!</definedName>
    <definedName name="Acct411DITEXP" localSheetId="6">'[10]Functional Study'!#REF!</definedName>
    <definedName name="Acct411DITEXP" localSheetId="7">'[10]Functional Study'!#REF!</definedName>
    <definedName name="Acct411DITEXP" localSheetId="9">'[10]Functional Study'!#REF!</definedName>
    <definedName name="Acct411DITEXP" localSheetId="5">'[10]Functional Study'!#REF!</definedName>
    <definedName name="Acct411DITEXP" localSheetId="3">'[10]Functional Study'!#REF!</definedName>
    <definedName name="Acct411DITEXP" localSheetId="4">'[10]Functional Study'!#REF!</definedName>
    <definedName name="Acct411DITEXP" localSheetId="8">'[10]Functional Study'!#REF!</definedName>
    <definedName name="Acct411DITEXP">'[10]Functional Study'!#REF!</definedName>
    <definedName name="Acct411DNPP" localSheetId="6">'[10]Functional Study'!#REF!</definedName>
    <definedName name="Acct411DNPP" localSheetId="7">'[10]Functional Study'!#REF!</definedName>
    <definedName name="Acct411DNPP" localSheetId="9">'[10]Functional Study'!#REF!</definedName>
    <definedName name="Acct411DNPP" localSheetId="5">'[10]Functional Study'!#REF!</definedName>
    <definedName name="Acct411DNPP" localSheetId="3">'[10]Functional Study'!#REF!</definedName>
    <definedName name="Acct411DNPP" localSheetId="4">'[10]Functional Study'!#REF!</definedName>
    <definedName name="Acct411DNPP" localSheetId="8">'[10]Functional Study'!#REF!</definedName>
    <definedName name="Acct411DNPP">'[10]Functional Study'!#REF!</definedName>
    <definedName name="Acct411DNPTP" localSheetId="6">'[10]Functional Study'!#REF!</definedName>
    <definedName name="Acct411DNPTP" localSheetId="7">'[10]Functional Study'!#REF!</definedName>
    <definedName name="Acct411DNPTP" localSheetId="9">'[10]Functional Study'!#REF!</definedName>
    <definedName name="Acct411DNPTP" localSheetId="5">'[10]Functional Study'!#REF!</definedName>
    <definedName name="Acct411DNPTP" localSheetId="3">'[10]Functional Study'!#REF!</definedName>
    <definedName name="Acct411DNPTP" localSheetId="4">'[10]Functional Study'!#REF!</definedName>
    <definedName name="Acct411DNPTP" localSheetId="8">'[10]Functional Study'!#REF!</definedName>
    <definedName name="Acct411DNPTP">'[10]Functional Study'!#REF!</definedName>
    <definedName name="Acct411S" localSheetId="6">'[10]Functional Study'!#REF!</definedName>
    <definedName name="Acct411S" localSheetId="7">'[10]Functional Study'!#REF!</definedName>
    <definedName name="Acct411S" localSheetId="9">'[10]Functional Study'!#REF!</definedName>
    <definedName name="Acct411S" localSheetId="5">'[10]Functional Study'!#REF!</definedName>
    <definedName name="Acct411S" localSheetId="3">'[10]Functional Study'!#REF!</definedName>
    <definedName name="Acct411S" localSheetId="4">'[10]Functional Study'!#REF!</definedName>
    <definedName name="Acct411S" localSheetId="8">'[10]Functional Study'!#REF!</definedName>
    <definedName name="Acct411S">'[10]Functional Study'!#REF!</definedName>
    <definedName name="Acct411SE" localSheetId="6">'[10]Functional Study'!#REF!</definedName>
    <definedName name="Acct411SE" localSheetId="7">'[10]Functional Study'!#REF!</definedName>
    <definedName name="Acct411SE" localSheetId="9">'[10]Functional Study'!#REF!</definedName>
    <definedName name="Acct411SE" localSheetId="5">'[10]Functional Study'!#REF!</definedName>
    <definedName name="Acct411SE" localSheetId="3">'[10]Functional Study'!#REF!</definedName>
    <definedName name="Acct411SE" localSheetId="4">'[10]Functional Study'!#REF!</definedName>
    <definedName name="Acct411SE" localSheetId="8">'[10]Functional Study'!#REF!</definedName>
    <definedName name="Acct411SE">'[10]Functional Study'!#REF!</definedName>
    <definedName name="Acct411SG" localSheetId="6">'[10]Functional Study'!#REF!</definedName>
    <definedName name="Acct411SG" localSheetId="7">'[10]Functional Study'!#REF!</definedName>
    <definedName name="Acct411SG" localSheetId="9">'[10]Functional Study'!#REF!</definedName>
    <definedName name="Acct411SG" localSheetId="5">'[10]Functional Study'!#REF!</definedName>
    <definedName name="Acct411SG" localSheetId="3">'[10]Functional Study'!#REF!</definedName>
    <definedName name="Acct411SG" localSheetId="4">'[10]Functional Study'!#REF!</definedName>
    <definedName name="Acct411SG" localSheetId="8">'[10]Functional Study'!#REF!</definedName>
    <definedName name="Acct411SG">'[10]Functional Study'!#REF!</definedName>
    <definedName name="Acct411SGPP" localSheetId="6">'[10]Functional Study'!#REF!</definedName>
    <definedName name="Acct411SGPP" localSheetId="7">'[10]Functional Study'!#REF!</definedName>
    <definedName name="Acct411SGPP" localSheetId="9">'[10]Functional Study'!#REF!</definedName>
    <definedName name="Acct411SGPP" localSheetId="5">'[10]Functional Study'!#REF!</definedName>
    <definedName name="Acct411SGPP" localSheetId="3">'[10]Functional Study'!#REF!</definedName>
    <definedName name="Acct411SGPP" localSheetId="4">'[10]Functional Study'!#REF!</definedName>
    <definedName name="Acct411SGPP" localSheetId="8">'[10]Functional Study'!#REF!</definedName>
    <definedName name="Acct411SGPP">'[10]Functional Study'!#REF!</definedName>
    <definedName name="Acct411SO" localSheetId="6">'[10]Functional Study'!#REF!</definedName>
    <definedName name="Acct411SO" localSheetId="7">'[10]Functional Study'!#REF!</definedName>
    <definedName name="Acct411SO" localSheetId="9">'[10]Functional Study'!#REF!</definedName>
    <definedName name="Acct411SO" localSheetId="5">'[10]Functional Study'!#REF!</definedName>
    <definedName name="Acct411SO" localSheetId="3">'[10]Functional Study'!#REF!</definedName>
    <definedName name="Acct411SO" localSheetId="4">'[10]Functional Study'!#REF!</definedName>
    <definedName name="Acct411SO" localSheetId="8">'[10]Functional Study'!#REF!</definedName>
    <definedName name="Acct411SO">'[10]Functional Study'!#REF!</definedName>
    <definedName name="Acct411TROJP" localSheetId="6">'[10]Functional Study'!#REF!</definedName>
    <definedName name="Acct411TROJP" localSheetId="7">'[10]Functional Study'!#REF!</definedName>
    <definedName name="Acct411TROJP" localSheetId="9">'[10]Functional Study'!#REF!</definedName>
    <definedName name="Acct411TROJP" localSheetId="5">'[10]Functional Study'!#REF!</definedName>
    <definedName name="Acct411TROJP" localSheetId="3">'[10]Functional Study'!#REF!</definedName>
    <definedName name="Acct411TROJP" localSheetId="4">'[10]Functional Study'!#REF!</definedName>
    <definedName name="Acct411TROJP" localSheetId="8">'[10]Functional Study'!#REF!</definedName>
    <definedName name="Acct411TROJP">'[10]Functional Study'!#REF!</definedName>
    <definedName name="Acct447DGU" localSheetId="6">'[8]Func Study'!#REF!</definedName>
    <definedName name="Acct447DGU" localSheetId="7">'[8]Func Study'!#REF!</definedName>
    <definedName name="Acct447DGU" localSheetId="9">'[8]Func Study'!#REF!</definedName>
    <definedName name="Acct447DGU" localSheetId="5">'[8]Func Study'!#REF!</definedName>
    <definedName name="Acct447DGU" localSheetId="3">'[8]Func Study'!#REF!</definedName>
    <definedName name="Acct447DGU" localSheetId="4">'[8]Func Study'!#REF!</definedName>
    <definedName name="Acct447DGU" localSheetId="8">'[8]Func Study'!#REF!</definedName>
    <definedName name="Acct447DGU">'[8]Func Study'!#REF!</definedName>
    <definedName name="Acct448S">'[9]Func Study'!$H$274</definedName>
    <definedName name="Acct450S">'[9]Func Study'!$H$302</definedName>
    <definedName name="Acct451S">'[9]Func Study'!$H$307</definedName>
    <definedName name="Acct454S">'[9]Func Study'!$H$318</definedName>
    <definedName name="Acct456S">'[9]Func Study'!$H$325</definedName>
    <definedName name="Acct510" localSheetId="6">'[9]Func Study'!#REF!</definedName>
    <definedName name="Acct510" localSheetId="7">'[9]Func Study'!#REF!</definedName>
    <definedName name="Acct510" localSheetId="9">'[9]Func Study'!#REF!</definedName>
    <definedName name="Acct510" localSheetId="5">'[9]Func Study'!#REF!</definedName>
    <definedName name="Acct510" localSheetId="3">'[9]Func Study'!#REF!</definedName>
    <definedName name="Acct510" localSheetId="4">'[9]Func Study'!#REF!</definedName>
    <definedName name="Acct510" localSheetId="8">'[9]Func Study'!#REF!</definedName>
    <definedName name="Acct510">'[9]Func Study'!#REF!</definedName>
    <definedName name="Acct510DNPPSU" localSheetId="6">'[9]Func Study'!#REF!</definedName>
    <definedName name="Acct510DNPPSU" localSheetId="7">'[9]Func Study'!#REF!</definedName>
    <definedName name="Acct510DNPPSU" localSheetId="9">'[9]Func Study'!#REF!</definedName>
    <definedName name="Acct510DNPPSU" localSheetId="5">'[9]Func Study'!#REF!</definedName>
    <definedName name="Acct510DNPPSU" localSheetId="3">'[9]Func Study'!#REF!</definedName>
    <definedName name="Acct510DNPPSU" localSheetId="4">'[9]Func Study'!#REF!</definedName>
    <definedName name="Acct510DNPPSU" localSheetId="8">'[9]Func Study'!#REF!</definedName>
    <definedName name="Acct510DNPPSU">'[9]Func Study'!#REF!</definedName>
    <definedName name="ACCT510JBG" localSheetId="6">'[9]Func Study'!#REF!</definedName>
    <definedName name="ACCT510JBG" localSheetId="7">'[9]Func Study'!#REF!</definedName>
    <definedName name="ACCT510JBG" localSheetId="9">'[9]Func Study'!#REF!</definedName>
    <definedName name="ACCT510JBG" localSheetId="5">'[9]Func Study'!#REF!</definedName>
    <definedName name="ACCT510JBG" localSheetId="3">'[9]Func Study'!#REF!</definedName>
    <definedName name="ACCT510JBG" localSheetId="4">'[9]Func Study'!#REF!</definedName>
    <definedName name="ACCT510JBG" localSheetId="8">'[9]Func Study'!#REF!</definedName>
    <definedName name="ACCT510JBG">'[9]Func Study'!#REF!</definedName>
    <definedName name="ACCT510SSGCH" localSheetId="6">'[9]Func Study'!#REF!</definedName>
    <definedName name="ACCT510SSGCH" localSheetId="7">'[9]Func Study'!#REF!</definedName>
    <definedName name="ACCT510SSGCH" localSheetId="9">'[9]Func Study'!#REF!</definedName>
    <definedName name="ACCT510SSGCH" localSheetId="5">'[9]Func Study'!#REF!</definedName>
    <definedName name="ACCT510SSGCH" localSheetId="3">'[9]Func Study'!#REF!</definedName>
    <definedName name="ACCT510SSGCH" localSheetId="4">'[9]Func Study'!#REF!</definedName>
    <definedName name="ACCT510SSGCH" localSheetId="8">'[9]Func Study'!#REF!</definedName>
    <definedName name="ACCT510SSGCH">'[9]Func Study'!#REF!</definedName>
    <definedName name="ACCT557CAGE">'[9]Func Study'!$H$683</definedName>
    <definedName name="Acct557CT">'[9]Func Study'!$H$681</definedName>
    <definedName name="Acct580">'[9]Func Study'!$H$791</definedName>
    <definedName name="Acct581">'[9]Func Study'!$H$796</definedName>
    <definedName name="Acct582">'[9]Func Study'!$H$801</definedName>
    <definedName name="Acct583">'[9]Func Study'!$H$806</definedName>
    <definedName name="Acct584">'[9]Func Study'!$H$811</definedName>
    <definedName name="Acct585">'[9]Func Study'!$H$816</definedName>
    <definedName name="Acct586">'[9]Func Study'!$H$821</definedName>
    <definedName name="Acct587">'[9]Func Study'!$H$826</definedName>
    <definedName name="Acct588">'[9]Func Study'!$H$831</definedName>
    <definedName name="Acct589">'[9]Func Study'!$H$836</definedName>
    <definedName name="Acct590">'[9]Func Study'!$H$841</definedName>
    <definedName name="Acct591">'[9]Func Study'!$H$846</definedName>
    <definedName name="Acct592">'[9]Func Study'!$H$851</definedName>
    <definedName name="Acct593">'[9]Func Study'!$H$856</definedName>
    <definedName name="Acct594">'[9]Func Study'!$H$861</definedName>
    <definedName name="Acct595">'[9]Func Study'!$H$866</definedName>
    <definedName name="Acct596">'[9]Func Study'!$H$876</definedName>
    <definedName name="Acct597">'[9]Func Study'!$H$881</definedName>
    <definedName name="Acct598">'[9]Func Study'!$H$886</definedName>
    <definedName name="ACCT904SG" localSheetId="6">'[11]Functional Study'!#REF!</definedName>
    <definedName name="ACCT904SG" localSheetId="7">'[11]Functional Study'!#REF!</definedName>
    <definedName name="ACCT904SG" localSheetId="9">'[11]Functional Study'!#REF!</definedName>
    <definedName name="ACCT904SG" localSheetId="5">'[11]Functional Study'!#REF!</definedName>
    <definedName name="ACCT904SG" localSheetId="3">'[11]Functional Study'!#REF!</definedName>
    <definedName name="ACCT904SG" localSheetId="4">'[11]Functional Study'!#REF!</definedName>
    <definedName name="ACCT904SG" localSheetId="8">'[11]Functional Study'!#REF!</definedName>
    <definedName name="ACCT904SG">'[11]Functional Study'!#REF!</definedName>
    <definedName name="AcctAGA">'[9]Func Study'!$H$296</definedName>
    <definedName name="AcctDFAD" localSheetId="6">'[9]Func Study'!#REF!</definedName>
    <definedName name="AcctDFAD" localSheetId="7">'[9]Func Study'!#REF!</definedName>
    <definedName name="AcctDFAD" localSheetId="9">'[9]Func Study'!#REF!</definedName>
    <definedName name="AcctDFAD" localSheetId="5">'[9]Func Study'!#REF!</definedName>
    <definedName name="AcctDFAD" localSheetId="3">'[9]Func Study'!#REF!</definedName>
    <definedName name="AcctDFAD" localSheetId="4">'[9]Func Study'!#REF!</definedName>
    <definedName name="AcctDFAD" localSheetId="8">'[9]Func Study'!#REF!</definedName>
    <definedName name="AcctDFAD">'[9]Func Study'!#REF!</definedName>
    <definedName name="AcctDFAP" localSheetId="6">'[9]Func Study'!#REF!</definedName>
    <definedName name="AcctDFAP" localSheetId="7">'[9]Func Study'!#REF!</definedName>
    <definedName name="AcctDFAP" localSheetId="9">'[9]Func Study'!#REF!</definedName>
    <definedName name="AcctDFAP" localSheetId="5">'[9]Func Study'!#REF!</definedName>
    <definedName name="AcctDFAP" localSheetId="3">'[9]Func Study'!#REF!</definedName>
    <definedName name="AcctDFAP" localSheetId="4">'[9]Func Study'!#REF!</definedName>
    <definedName name="AcctDFAP" localSheetId="8">'[9]Func Study'!#REF!</definedName>
    <definedName name="AcctDFAP">'[9]Func Study'!#REF!</definedName>
    <definedName name="AcctDFAT" localSheetId="6">'[9]Func Study'!#REF!</definedName>
    <definedName name="AcctDFAT" localSheetId="7">'[9]Func Study'!#REF!</definedName>
    <definedName name="AcctDFAT" localSheetId="9">'[9]Func Study'!#REF!</definedName>
    <definedName name="AcctDFAT" localSheetId="5">'[9]Func Study'!#REF!</definedName>
    <definedName name="AcctDFAT" localSheetId="3">'[9]Func Study'!#REF!</definedName>
    <definedName name="AcctDFAT" localSheetId="4">'[9]Func Study'!#REF!</definedName>
    <definedName name="AcctDFAT" localSheetId="8">'[9]Func Study'!#REF!</definedName>
    <definedName name="AcctDFAT">'[9]Func Study'!#REF!</definedName>
    <definedName name="AcctTable">[12]Variables!$AK$42:$AK$396</definedName>
    <definedName name="AcctTS0">'[9]Func Study'!$H$1686</definedName>
    <definedName name="ActualROR">'[8]G+T+D+R+M'!$H$61</definedName>
    <definedName name="Adjs2avg">[13]Inputs!$L$255:'[13]Inputs'!$T$505</definedName>
    <definedName name="APR" localSheetId="6">#REF!</definedName>
    <definedName name="APR" localSheetId="7">#REF!</definedName>
    <definedName name="APR" localSheetId="9">#REF!</definedName>
    <definedName name="APR" localSheetId="5">#REF!</definedName>
    <definedName name="APR" localSheetId="3">#REF!</definedName>
    <definedName name="APR" localSheetId="4">#REF!</definedName>
    <definedName name="APR" localSheetId="8">#REF!</definedName>
    <definedName name="APR">[14]Backup!#REF!</definedName>
    <definedName name="APRT" localSheetId="6">#REF!</definedName>
    <definedName name="APRT" localSheetId="7">#REF!</definedName>
    <definedName name="APRT" localSheetId="9">#REF!</definedName>
    <definedName name="APRT" localSheetId="5">#REF!</definedName>
    <definedName name="APRT" localSheetId="3">#REF!</definedName>
    <definedName name="APRT" localSheetId="4">#REF!</definedName>
    <definedName name="APRT" localSheetId="8">#REF!</definedName>
    <definedName name="APRT">#REF!</definedName>
    <definedName name="AUG" localSheetId="6">#REF!</definedName>
    <definedName name="AUG" localSheetId="7">#REF!</definedName>
    <definedName name="AUG" localSheetId="9">#REF!</definedName>
    <definedName name="AUG" localSheetId="5">#REF!</definedName>
    <definedName name="AUG" localSheetId="3">#REF!</definedName>
    <definedName name="AUG" localSheetId="4">#REF!</definedName>
    <definedName name="AUG" localSheetId="8">#REF!</definedName>
    <definedName name="AUG">[14]Backup!#REF!</definedName>
    <definedName name="AUGT" localSheetId="6">#REF!</definedName>
    <definedName name="AUGT" localSheetId="7">#REF!</definedName>
    <definedName name="AUGT" localSheetId="9">#REF!</definedName>
    <definedName name="AUGT" localSheetId="5">#REF!</definedName>
    <definedName name="AUGT" localSheetId="3">#REF!</definedName>
    <definedName name="AUGT" localSheetId="4">#REF!</definedName>
    <definedName name="AUGT" localSheetId="8">#REF!</definedName>
    <definedName name="AUGT">#REF!</definedName>
    <definedName name="AvgFactors">[12]Factors!$B$3:$P$99</definedName>
    <definedName name="b" hidden="1">{#N/A,#N/A,FALSE,"Coversheet";#N/A,#N/A,FALSE,"QA"}</definedName>
    <definedName name="BACK1" localSheetId="6">#REF!</definedName>
    <definedName name="BACK1" localSheetId="7">#REF!</definedName>
    <definedName name="BACK1" localSheetId="9">#REF!</definedName>
    <definedName name="BACK1" localSheetId="5">#REF!</definedName>
    <definedName name="BACK1" localSheetId="3">#REF!</definedName>
    <definedName name="BACK1" localSheetId="4">#REF!</definedName>
    <definedName name="BACK1" localSheetId="8">#REF!</definedName>
    <definedName name="BACK1">#REF!</definedName>
    <definedName name="BACK2" localSheetId="6">#REF!</definedName>
    <definedName name="BACK2" localSheetId="7">#REF!</definedName>
    <definedName name="BACK2" localSheetId="9">#REF!</definedName>
    <definedName name="BACK2" localSheetId="5">#REF!</definedName>
    <definedName name="BACK2" localSheetId="3">#REF!</definedName>
    <definedName name="BACK2" localSheetId="4">#REF!</definedName>
    <definedName name="BACK2" localSheetId="8">#REF!</definedName>
    <definedName name="BACK2">#REF!</definedName>
    <definedName name="BACK3" localSheetId="6">#REF!</definedName>
    <definedName name="BACK3" localSheetId="7">#REF!</definedName>
    <definedName name="BACK3" localSheetId="9">#REF!</definedName>
    <definedName name="BACK3" localSheetId="5">#REF!</definedName>
    <definedName name="BACK3" localSheetId="3">#REF!</definedName>
    <definedName name="BACK3" localSheetId="4">#REF!</definedName>
    <definedName name="BACK3" localSheetId="8">#REF!</definedName>
    <definedName name="BACK3">#REF!</definedName>
    <definedName name="BACKUP1" localSheetId="6">#REF!</definedName>
    <definedName name="BACKUP1" localSheetId="7">#REF!</definedName>
    <definedName name="BACKUP1" localSheetId="9">#REF!</definedName>
    <definedName name="BACKUP1" localSheetId="5">#REF!</definedName>
    <definedName name="BACKUP1" localSheetId="3">#REF!</definedName>
    <definedName name="BACKUP1" localSheetId="4">#REF!</definedName>
    <definedName name="BACKUP1" localSheetId="8">#REF!</definedName>
    <definedName name="BACKUP1">#REF!</definedName>
    <definedName name="BOOKADJ" localSheetId="6">#REF!</definedName>
    <definedName name="BOOKADJ" localSheetId="7">#REF!</definedName>
    <definedName name="BOOKADJ" localSheetId="9">#REF!</definedName>
    <definedName name="BOOKADJ" localSheetId="5">#REF!</definedName>
    <definedName name="BOOKADJ" localSheetId="3">#REF!</definedName>
    <definedName name="BOOKADJ" localSheetId="4">#REF!</definedName>
    <definedName name="BOOKADJ" localSheetId="8">#REF!</definedName>
    <definedName name="BOOKADJ">#REF!</definedName>
    <definedName name="cap">[15]Readings!$B$2</definedName>
    <definedName name="Check" localSheetId="6">#REF!</definedName>
    <definedName name="Check" localSheetId="7">#REF!</definedName>
    <definedName name="Check" localSheetId="9">#REF!</definedName>
    <definedName name="Check" localSheetId="5">#REF!</definedName>
    <definedName name="Check" localSheetId="3">#REF!</definedName>
    <definedName name="Check" localSheetId="4">#REF!</definedName>
    <definedName name="Check" localSheetId="8">#REF!</definedName>
    <definedName name="Check">#REF!</definedName>
    <definedName name="Classification">'[9]Func Study'!$AB$251</definedName>
    <definedName name="COMADJ" localSheetId="6">#REF!</definedName>
    <definedName name="COMADJ" localSheetId="7">#REF!</definedName>
    <definedName name="COMADJ" localSheetId="9">#REF!</definedName>
    <definedName name="COMADJ" localSheetId="5">#REF!</definedName>
    <definedName name="COMADJ" localSheetId="3">#REF!</definedName>
    <definedName name="COMADJ" localSheetId="4">#REF!</definedName>
    <definedName name="COMADJ" localSheetId="8">#REF!</definedName>
    <definedName name="COMADJ">#REF!</definedName>
    <definedName name="COMP" localSheetId="6">#REF!</definedName>
    <definedName name="COMP" localSheetId="7">#REF!</definedName>
    <definedName name="COMP" localSheetId="9">#REF!</definedName>
    <definedName name="COMP" localSheetId="5">#REF!</definedName>
    <definedName name="COMP" localSheetId="3">#REF!</definedName>
    <definedName name="COMP" localSheetId="4">#REF!</definedName>
    <definedName name="COMP" localSheetId="8">#REF!</definedName>
    <definedName name="COMP">#REF!</definedName>
    <definedName name="COMPACTUAL" localSheetId="6">#REF!</definedName>
    <definedName name="COMPACTUAL" localSheetId="7">#REF!</definedName>
    <definedName name="COMPACTUAL" localSheetId="9">#REF!</definedName>
    <definedName name="COMPACTUAL" localSheetId="5">#REF!</definedName>
    <definedName name="COMPACTUAL" localSheetId="3">#REF!</definedName>
    <definedName name="COMPACTUAL" localSheetId="4">#REF!</definedName>
    <definedName name="COMPACTUAL" localSheetId="8">#REF!</definedName>
    <definedName name="COMPACTUAL">#REF!</definedName>
    <definedName name="COMPT" localSheetId="6">#REF!</definedName>
    <definedName name="COMPT" localSheetId="7">#REF!</definedName>
    <definedName name="COMPT" localSheetId="9">#REF!</definedName>
    <definedName name="COMPT" localSheetId="5">#REF!</definedName>
    <definedName name="COMPT" localSheetId="3">#REF!</definedName>
    <definedName name="COMPT" localSheetId="4">#REF!</definedName>
    <definedName name="COMPT" localSheetId="8">#REF!</definedName>
    <definedName name="COMPT">#REF!</definedName>
    <definedName name="COMPWEATHER" localSheetId="6">#REF!</definedName>
    <definedName name="COMPWEATHER" localSheetId="7">#REF!</definedName>
    <definedName name="COMPWEATHER" localSheetId="9">#REF!</definedName>
    <definedName name="COMPWEATHER" localSheetId="5">#REF!</definedName>
    <definedName name="COMPWEATHER" localSheetId="3">#REF!</definedName>
    <definedName name="COMPWEATHER" localSheetId="4">#REF!</definedName>
    <definedName name="COMPWEATHER" localSheetId="8">#REF!</definedName>
    <definedName name="COMPWEATHER">#REF!</definedName>
    <definedName name="COSFacVal">[9]Inputs!$R$5</definedName>
    <definedName name="_xlnm.Database" localSheetId="6">[16]Invoice!#REF!</definedName>
    <definedName name="_xlnm.Database" localSheetId="7">[16]Invoice!#REF!</definedName>
    <definedName name="_xlnm.Database" localSheetId="9">[16]Invoice!#REF!</definedName>
    <definedName name="_xlnm.Database" localSheetId="5">[16]Invoice!#REF!</definedName>
    <definedName name="_xlnm.Database" localSheetId="3">[16]Invoice!#REF!</definedName>
    <definedName name="_xlnm.Database" localSheetId="4">[16]Invoice!#REF!</definedName>
    <definedName name="_xlnm.Database" localSheetId="8">[16]Invoice!#REF!</definedName>
    <definedName name="_xlnm.Database">[16]Invoice!#REF!</definedName>
    <definedName name="DATE" localSheetId="6">[17]Jan!#REF!</definedName>
    <definedName name="DATE" localSheetId="7">[17]Jan!#REF!</definedName>
    <definedName name="DATE" localSheetId="9">[17]Jan!#REF!</definedName>
    <definedName name="DATE" localSheetId="5">[17]Jan!#REF!</definedName>
    <definedName name="DATE" localSheetId="3">[17]Jan!#REF!</definedName>
    <definedName name="DATE" localSheetId="4">[17]Jan!#REF!</definedName>
    <definedName name="DATE" localSheetId="8">[17]Jan!#REF!</definedName>
    <definedName name="DATE">[17]Jan!#REF!</definedName>
    <definedName name="DEC" localSheetId="6">#REF!</definedName>
    <definedName name="DEC" localSheetId="7">#REF!</definedName>
    <definedName name="DEC" localSheetId="9">#REF!</definedName>
    <definedName name="DEC" localSheetId="5">#REF!</definedName>
    <definedName name="DEC" localSheetId="3">#REF!</definedName>
    <definedName name="DEC" localSheetId="4">#REF!</definedName>
    <definedName name="DEC" localSheetId="8">#REF!</definedName>
    <definedName name="DEC">[14]Backup!#REF!</definedName>
    <definedName name="DECT" localSheetId="6">#REF!</definedName>
    <definedName name="DECT" localSheetId="7">#REF!</definedName>
    <definedName name="DECT" localSheetId="9">#REF!</definedName>
    <definedName name="DECT" localSheetId="5">#REF!</definedName>
    <definedName name="DECT" localSheetId="3">#REF!</definedName>
    <definedName name="DECT" localSheetId="4">#REF!</definedName>
    <definedName name="DECT" localSheetId="8">#REF!</definedName>
    <definedName name="DECT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mand">[8]Inputs!$D$8</definedName>
    <definedName name="Demand2">[18]Inputs!$D$11</definedName>
    <definedName name="DFIT" hidden="1">{#N/A,#N/A,FALSE,"Coversheet";#N/A,#N/A,FALSE,"QA"}</definedName>
    <definedName name="Dis">'[9]Func Study'!$AB$250</definedName>
    <definedName name="DisFac">'[9]Func Dist Factor Table'!$A$11:$G$25</definedName>
    <definedName name="Dist_factor" localSheetId="6">#REF!</definedName>
    <definedName name="Dist_factor" localSheetId="7">#REF!</definedName>
    <definedName name="Dist_factor" localSheetId="9">#REF!</definedName>
    <definedName name="Dist_factor" localSheetId="5">#REF!</definedName>
    <definedName name="Dist_factor" localSheetId="3">#REF!</definedName>
    <definedName name="Dist_factor" localSheetId="4">#REF!</definedName>
    <definedName name="Dist_factor" localSheetId="8">#REF!</definedName>
    <definedName name="Dist_factor">#REF!</definedName>
    <definedName name="DistPeakMethod" localSheetId="6">[11]Inputs!#REF!</definedName>
    <definedName name="DistPeakMethod" localSheetId="7">[11]Inputs!#REF!</definedName>
    <definedName name="DistPeakMethod" localSheetId="9">[11]Inputs!#REF!</definedName>
    <definedName name="DistPeakMethod" localSheetId="5">[11]Inputs!#REF!</definedName>
    <definedName name="DistPeakMethod" localSheetId="3">[11]Inputs!#REF!</definedName>
    <definedName name="DistPeakMethod" localSheetId="4">[11]Inputs!#REF!</definedName>
    <definedName name="DistPeakMethod" localSheetId="8">[11]Inputs!#REF!</definedName>
    <definedName name="DistPeakMethod">[11]Inputs!#REF!</definedName>
    <definedName name="DUDE" localSheetId="6" hidden="1">#REF!</definedName>
    <definedName name="DUDE" localSheetId="7" hidden="1">#REF!</definedName>
    <definedName name="DUDE" localSheetId="9" hidden="1">#REF!</definedName>
    <definedName name="DUDE" localSheetId="5" hidden="1">#REF!</definedName>
    <definedName name="DUDE" localSheetId="3" hidden="1">#REF!</definedName>
    <definedName name="DUDE" localSheetId="4" hidden="1">#REF!</definedName>
    <definedName name="DUDE" localSheetId="8" hidden="1">#REF!</definedName>
    <definedName name="DUDE" hidden="1">#REF!</definedName>
    <definedName name="energy">[15]Readings!$B$3</definedName>
    <definedName name="Engy">[8]Inputs!$D$9</definedName>
    <definedName name="Engy2">[18]Inputs!$D$12</definedName>
    <definedName name="f101top" localSheetId="6">#REF!</definedName>
    <definedName name="f101top" localSheetId="7">#REF!</definedName>
    <definedName name="f101top" localSheetId="9">#REF!</definedName>
    <definedName name="f101top" localSheetId="5">#REF!</definedName>
    <definedName name="f101top" localSheetId="3">#REF!</definedName>
    <definedName name="f101top" localSheetId="4">#REF!</definedName>
    <definedName name="f101top" localSheetId="8">#REF!</definedName>
    <definedName name="f101top">#REF!</definedName>
    <definedName name="f104top" localSheetId="6">#REF!</definedName>
    <definedName name="f104top" localSheetId="7">#REF!</definedName>
    <definedName name="f104top" localSheetId="9">#REF!</definedName>
    <definedName name="f104top" localSheetId="5">#REF!</definedName>
    <definedName name="f104top" localSheetId="3">#REF!</definedName>
    <definedName name="f104top" localSheetId="4">#REF!</definedName>
    <definedName name="f104top" localSheetId="8">#REF!</definedName>
    <definedName name="f104top">#REF!</definedName>
    <definedName name="f138top" localSheetId="6">#REF!</definedName>
    <definedName name="f138top" localSheetId="7">#REF!</definedName>
    <definedName name="f138top" localSheetId="9">#REF!</definedName>
    <definedName name="f138top" localSheetId="5">#REF!</definedName>
    <definedName name="f138top" localSheetId="3">#REF!</definedName>
    <definedName name="f138top" localSheetId="4">#REF!</definedName>
    <definedName name="f138top" localSheetId="8">#REF!</definedName>
    <definedName name="f138top">#REF!</definedName>
    <definedName name="f140top" localSheetId="6">#REF!</definedName>
    <definedName name="f140top" localSheetId="7">#REF!</definedName>
    <definedName name="f140top" localSheetId="9">#REF!</definedName>
    <definedName name="f140top" localSheetId="5">#REF!</definedName>
    <definedName name="f140top" localSheetId="3">#REF!</definedName>
    <definedName name="f140top" localSheetId="4">#REF!</definedName>
    <definedName name="f140top" localSheetId="8">#REF!</definedName>
    <definedName name="f140top">#REF!</definedName>
    <definedName name="Factorck">'[9]COS Factor Table'!$O$15:$O$113</definedName>
    <definedName name="FactorType">[12]Variables!$AK$2:$AL$12</definedName>
    <definedName name="FACTP" localSheetId="6">#REF!</definedName>
    <definedName name="FACTP" localSheetId="7">#REF!</definedName>
    <definedName name="FACTP" localSheetId="9">#REF!</definedName>
    <definedName name="FACTP" localSheetId="5">#REF!</definedName>
    <definedName name="FACTP" localSheetId="3">#REF!</definedName>
    <definedName name="FACTP" localSheetId="4">#REF!</definedName>
    <definedName name="FACTP" localSheetId="8">#REF!</definedName>
    <definedName name="FACTP">#REF!</definedName>
    <definedName name="FactSum">'[9]COS Factor Table'!$A$14:$O$113</definedName>
    <definedName name="FEB" localSheetId="6">#REF!</definedName>
    <definedName name="FEB" localSheetId="7">#REF!</definedName>
    <definedName name="FEB" localSheetId="9">#REF!</definedName>
    <definedName name="FEB" localSheetId="5">#REF!</definedName>
    <definedName name="FEB" localSheetId="3">#REF!</definedName>
    <definedName name="FEB" localSheetId="4">#REF!</definedName>
    <definedName name="FEB" localSheetId="8">#REF!</definedName>
    <definedName name="FEB">[14]Backup!#REF!</definedName>
    <definedName name="FEBT" localSheetId="6">#REF!</definedName>
    <definedName name="FEBT" localSheetId="7">#REF!</definedName>
    <definedName name="FEBT" localSheetId="9">#REF!</definedName>
    <definedName name="FEBT" localSheetId="5">#REF!</definedName>
    <definedName name="FEBT" localSheetId="3">#REF!</definedName>
    <definedName name="FEBT" localSheetId="4">#REF!</definedName>
    <definedName name="FEBT" localSheetId="8">#REF!</definedName>
    <definedName name="FEBT">#REF!</definedName>
    <definedName name="FranchiseTax">[13]Variables!$D$26</definedName>
    <definedName name="Func">'[9]Func Factor Table'!$A$10:$H$77</definedName>
    <definedName name="Func_Ftrs" localSheetId="6">#REF!</definedName>
    <definedName name="Func_Ftrs" localSheetId="7">#REF!</definedName>
    <definedName name="Func_Ftrs" localSheetId="9">#REF!</definedName>
    <definedName name="Func_Ftrs" localSheetId="5">#REF!</definedName>
    <definedName name="Func_Ftrs" localSheetId="3">#REF!</definedName>
    <definedName name="Func_Ftrs" localSheetId="4">#REF!</definedName>
    <definedName name="Func_Ftrs" localSheetId="8">#REF!</definedName>
    <definedName name="Func_Ftrs">#REF!</definedName>
    <definedName name="Func_GTD_Percents" localSheetId="6">#REF!</definedName>
    <definedName name="Func_GTD_Percents" localSheetId="7">#REF!</definedName>
    <definedName name="Func_GTD_Percents" localSheetId="9">#REF!</definedName>
    <definedName name="Func_GTD_Percents" localSheetId="5">#REF!</definedName>
    <definedName name="Func_GTD_Percents" localSheetId="3">#REF!</definedName>
    <definedName name="Func_GTD_Percents" localSheetId="4">#REF!</definedName>
    <definedName name="Func_GTD_Percents" localSheetId="8">#REF!</definedName>
    <definedName name="Func_GTD_Percents">#REF!</definedName>
    <definedName name="Func_MC" localSheetId="6">#REF!</definedName>
    <definedName name="Func_MC" localSheetId="7">#REF!</definedName>
    <definedName name="Func_MC" localSheetId="9">#REF!</definedName>
    <definedName name="Func_MC" localSheetId="5">#REF!</definedName>
    <definedName name="Func_MC" localSheetId="3">#REF!</definedName>
    <definedName name="Func_MC" localSheetId="4">#REF!</definedName>
    <definedName name="Func_MC" localSheetId="8">#REF!</definedName>
    <definedName name="Func_MC">#REF!</definedName>
    <definedName name="Func_Percents" localSheetId="6">#REF!</definedName>
    <definedName name="Func_Percents" localSheetId="7">#REF!</definedName>
    <definedName name="Func_Percents" localSheetId="9">#REF!</definedName>
    <definedName name="Func_Percents" localSheetId="5">#REF!</definedName>
    <definedName name="Func_Percents" localSheetId="3">#REF!</definedName>
    <definedName name="Func_Percents" localSheetId="4">#REF!</definedName>
    <definedName name="Func_Percents" localSheetId="8">#REF!</definedName>
    <definedName name="Func_Percents">#REF!</definedName>
    <definedName name="Func_Rev_Req1" localSheetId="6">#REF!</definedName>
    <definedName name="Func_Rev_Req1" localSheetId="7">#REF!</definedName>
    <definedName name="Func_Rev_Req1" localSheetId="9">#REF!</definedName>
    <definedName name="Func_Rev_Req1" localSheetId="5">#REF!</definedName>
    <definedName name="Func_Rev_Req1" localSheetId="3">#REF!</definedName>
    <definedName name="Func_Rev_Req1" localSheetId="4">#REF!</definedName>
    <definedName name="Func_Rev_Req1" localSheetId="8">#REF!</definedName>
    <definedName name="Func_Rev_Req1">#REF!</definedName>
    <definedName name="Func_Rev_Req2" localSheetId="6">#REF!</definedName>
    <definedName name="Func_Rev_Req2" localSheetId="7">#REF!</definedName>
    <definedName name="Func_Rev_Req2" localSheetId="9">#REF!</definedName>
    <definedName name="Func_Rev_Req2" localSheetId="5">#REF!</definedName>
    <definedName name="Func_Rev_Req2" localSheetId="3">#REF!</definedName>
    <definedName name="Func_Rev_Req2" localSheetId="4">#REF!</definedName>
    <definedName name="Func_Rev_Req2" localSheetId="8">#REF!</definedName>
    <definedName name="Func_Rev_Req2">#REF!</definedName>
    <definedName name="Func_Revenue" localSheetId="6">#REF!</definedName>
    <definedName name="Func_Revenue" localSheetId="7">#REF!</definedName>
    <definedName name="Func_Revenue" localSheetId="9">#REF!</definedName>
    <definedName name="Func_Revenue" localSheetId="5">#REF!</definedName>
    <definedName name="Func_Revenue" localSheetId="3">#REF!</definedName>
    <definedName name="Func_Revenue" localSheetId="4">#REF!</definedName>
    <definedName name="Func_Revenue" localSheetId="8">#REF!</definedName>
    <definedName name="Func_Revenue">#REF!</definedName>
    <definedName name="Function">'[9]Func Study'!$AB$250</definedName>
    <definedName name="GREATER10MW" localSheetId="6">#REF!</definedName>
    <definedName name="GREATER10MW" localSheetId="7">#REF!</definedName>
    <definedName name="GREATER10MW" localSheetId="9">#REF!</definedName>
    <definedName name="GREATER10MW" localSheetId="5">#REF!</definedName>
    <definedName name="GREATER10MW" localSheetId="3">#REF!</definedName>
    <definedName name="GREATER10MW" localSheetId="4">#REF!</definedName>
    <definedName name="GREATER10MW" localSheetId="8">#REF!</definedName>
    <definedName name="GREATER10MW">#REF!</definedName>
    <definedName name="GTD_Percents" localSheetId="6">#REF!</definedName>
    <definedName name="GTD_Percents" localSheetId="7">#REF!</definedName>
    <definedName name="GTD_Percents" localSheetId="9">#REF!</definedName>
    <definedName name="GTD_Percents" localSheetId="5">#REF!</definedName>
    <definedName name="GTD_Percents" localSheetId="3">#REF!</definedName>
    <definedName name="GTD_Percents" localSheetId="4">#REF!</definedName>
    <definedName name="GTD_Percents" localSheetId="8">#REF!</definedName>
    <definedName name="GTD_Percents">#REF!</definedName>
    <definedName name="HEIGHT" localSheetId="6">#REF!</definedName>
    <definedName name="HEIGHT" localSheetId="7">#REF!</definedName>
    <definedName name="HEIGHT" localSheetId="9">#REF!</definedName>
    <definedName name="HEIGHT" localSheetId="5">#REF!</definedName>
    <definedName name="HEIGHT" localSheetId="3">#REF!</definedName>
    <definedName name="HEIGHT" localSheetId="4">#REF!</definedName>
    <definedName name="HEIGHT" localSheetId="8">#REF!</definedName>
    <definedName name="HEIGHT">#REF!</definedName>
    <definedName name="ID_0303_RVN_data" localSheetId="6">#REF!</definedName>
    <definedName name="ID_0303_RVN_data" localSheetId="7">#REF!</definedName>
    <definedName name="ID_0303_RVN_data" localSheetId="9">#REF!</definedName>
    <definedName name="ID_0303_RVN_data" localSheetId="5">#REF!</definedName>
    <definedName name="ID_0303_RVN_data" localSheetId="3">#REF!</definedName>
    <definedName name="ID_0303_RVN_data" localSheetId="4">#REF!</definedName>
    <definedName name="ID_0303_RVN_data" localSheetId="8">#REF!</definedName>
    <definedName name="ID_0303_RVN_data">#REF!</definedName>
    <definedName name="IDcontractsRVN" localSheetId="6">#REF!</definedName>
    <definedName name="IDcontractsRVN" localSheetId="7">#REF!</definedName>
    <definedName name="IDcontractsRVN" localSheetId="9">#REF!</definedName>
    <definedName name="IDcontractsRVN" localSheetId="5">#REF!</definedName>
    <definedName name="IDcontractsRVN" localSheetId="3">#REF!</definedName>
    <definedName name="IDcontractsRVN" localSheetId="4">#REF!</definedName>
    <definedName name="IDcontractsRVN" localSheetId="8">#REF!</definedName>
    <definedName name="IDcontractsRVN">#REF!</definedName>
    <definedName name="INDADJ" localSheetId="6">#REF!</definedName>
    <definedName name="INDADJ" localSheetId="7">#REF!</definedName>
    <definedName name="INDADJ" localSheetId="9">#REF!</definedName>
    <definedName name="INDADJ" localSheetId="5">#REF!</definedName>
    <definedName name="INDADJ" localSheetId="3">#REF!</definedName>
    <definedName name="INDADJ" localSheetId="4">#REF!</definedName>
    <definedName name="INDADJ" localSheetId="8">#REF!</definedName>
    <definedName name="INDADJ">#REF!</definedName>
    <definedName name="INPUT" localSheetId="6">[19]Summary!#REF!</definedName>
    <definedName name="INPUT" localSheetId="7">[19]Summary!#REF!</definedName>
    <definedName name="INPUT" localSheetId="9">[19]Summary!#REF!</definedName>
    <definedName name="INPUT" localSheetId="5">[19]Summary!#REF!</definedName>
    <definedName name="INPUT" localSheetId="3">[19]Summary!#REF!</definedName>
    <definedName name="INPUT" localSheetId="4">[19]Summary!#REF!</definedName>
    <definedName name="INPUT" localSheetId="8">[19]Summary!#REF!</definedName>
    <definedName name="INPUT">[19]Summary!#REF!</definedName>
    <definedName name="Instructions" localSheetId="6">#REF!</definedName>
    <definedName name="Instructions" localSheetId="7">#REF!</definedName>
    <definedName name="Instructions" localSheetId="9">#REF!</definedName>
    <definedName name="Instructions" localSheetId="5">#REF!</definedName>
    <definedName name="Instructions" localSheetId="3">#REF!</definedName>
    <definedName name="Instructions" localSheetId="4">#REF!</definedName>
    <definedName name="Instructions" localSheetId="8">#REF!</definedName>
    <definedName name="Instructions">#REF!</definedName>
    <definedName name="JAN" localSheetId="6">#REF!</definedName>
    <definedName name="JAN" localSheetId="7">#REF!</definedName>
    <definedName name="JAN" localSheetId="9">#REF!</definedName>
    <definedName name="JAN" localSheetId="5">#REF!</definedName>
    <definedName name="JAN" localSheetId="3">#REF!</definedName>
    <definedName name="JAN" localSheetId="4">#REF!</definedName>
    <definedName name="JAN" localSheetId="8">#REF!</definedName>
    <definedName name="JAN">[14]Backup!#REF!</definedName>
    <definedName name="JANT" localSheetId="6">#REF!</definedName>
    <definedName name="JANT" localSheetId="7">#REF!</definedName>
    <definedName name="JANT" localSheetId="9">#REF!</definedName>
    <definedName name="JANT" localSheetId="5">#REF!</definedName>
    <definedName name="JANT" localSheetId="3">#REF!</definedName>
    <definedName name="JANT" localSheetId="4">#REF!</definedName>
    <definedName name="JANT" localSheetId="8">#REF!</definedName>
    <definedName name="JANT">#REF!</definedName>
    <definedName name="jjj">[20]Inputs!$N$18</definedName>
    <definedName name="JUL" localSheetId="6">#REF!</definedName>
    <definedName name="JUL" localSheetId="7">#REF!</definedName>
    <definedName name="JUL" localSheetId="9">#REF!</definedName>
    <definedName name="JUL" localSheetId="5">#REF!</definedName>
    <definedName name="JUL" localSheetId="3">#REF!</definedName>
    <definedName name="JUL" localSheetId="4">#REF!</definedName>
    <definedName name="JUL" localSheetId="8">#REF!</definedName>
    <definedName name="JUL">[14]Backup!#REF!</definedName>
    <definedName name="JULT" localSheetId="6">#REF!</definedName>
    <definedName name="JULT" localSheetId="7">#REF!</definedName>
    <definedName name="JULT" localSheetId="9">#REF!</definedName>
    <definedName name="JULT" localSheetId="5">#REF!</definedName>
    <definedName name="JULT" localSheetId="3">#REF!</definedName>
    <definedName name="JULT" localSheetId="4">#REF!</definedName>
    <definedName name="JULT" localSheetId="8">#REF!</definedName>
    <definedName name="JULT">#REF!</definedName>
    <definedName name="JUN" localSheetId="6">#REF!</definedName>
    <definedName name="JUN" localSheetId="7">#REF!</definedName>
    <definedName name="JUN" localSheetId="9">#REF!</definedName>
    <definedName name="JUN" localSheetId="5">#REF!</definedName>
    <definedName name="JUN" localSheetId="3">#REF!</definedName>
    <definedName name="JUN" localSheetId="4">#REF!</definedName>
    <definedName name="JUN" localSheetId="8">#REF!</definedName>
    <definedName name="JUN">[14]Backup!#REF!</definedName>
    <definedName name="JUNT" localSheetId="6">#REF!</definedName>
    <definedName name="JUNT" localSheetId="7">#REF!</definedName>
    <definedName name="JUNT" localSheetId="9">#REF!</definedName>
    <definedName name="JUNT" localSheetId="5">#REF!</definedName>
    <definedName name="JUNT" localSheetId="3">#REF!</definedName>
    <definedName name="JUNT" localSheetId="4">#REF!</definedName>
    <definedName name="JUNT" localSheetId="8">#REF!</definedName>
    <definedName name="JUNT">#REF!</definedName>
    <definedName name="Jurisdiction">[12]Variables!$AK$15</definedName>
    <definedName name="JurisNumber">[12]Variables!$AL$15</definedName>
    <definedName name="LABORMOD" localSheetId="6">#REF!</definedName>
    <definedName name="LABORMOD" localSheetId="7">#REF!</definedName>
    <definedName name="LABORMOD" localSheetId="9">#REF!</definedName>
    <definedName name="LABORMOD" localSheetId="5">#REF!</definedName>
    <definedName name="LABORMOD" localSheetId="3">#REF!</definedName>
    <definedName name="LABORMOD" localSheetId="4">#REF!</definedName>
    <definedName name="LABORMOD" localSheetId="8">#REF!</definedName>
    <definedName name="LABORMOD">#REF!</definedName>
    <definedName name="LABORROLL" localSheetId="6">#REF!</definedName>
    <definedName name="LABORROLL" localSheetId="7">#REF!</definedName>
    <definedName name="LABORROLL" localSheetId="9">#REF!</definedName>
    <definedName name="LABORROLL" localSheetId="5">#REF!</definedName>
    <definedName name="LABORROLL" localSheetId="3">#REF!</definedName>
    <definedName name="LABORROLL" localSheetId="4">#REF!</definedName>
    <definedName name="LABORROLL" localSheetId="8">#REF!</definedName>
    <definedName name="LABORROLL">#REF!</definedName>
    <definedName name="limcount" hidden="1">1</definedName>
    <definedName name="Line_Ext_Credit" localSheetId="6">#REF!</definedName>
    <definedName name="Line_Ext_Credit" localSheetId="7">#REF!</definedName>
    <definedName name="Line_Ext_Credit" localSheetId="9">#REF!</definedName>
    <definedName name="Line_Ext_Credit" localSheetId="5">#REF!</definedName>
    <definedName name="Line_Ext_Credit" localSheetId="3">#REF!</definedName>
    <definedName name="Line_Ext_Credit" localSheetId="4">#REF!</definedName>
    <definedName name="Line_Ext_Credit" localSheetId="8">#REF!</definedName>
    <definedName name="Line_Ext_Credit">#REF!</definedName>
    <definedName name="LinkCos">'[9]JAM Download'!$K$4</definedName>
    <definedName name="LOG" localSheetId="6">[14]Backup!#REF!</definedName>
    <definedName name="LOG" localSheetId="7">[14]Backup!#REF!</definedName>
    <definedName name="LOG" localSheetId="9">[14]Backup!#REF!</definedName>
    <definedName name="LOG" localSheetId="5">[14]Backup!#REF!</definedName>
    <definedName name="LOG" localSheetId="3">[14]Backup!#REF!</definedName>
    <definedName name="LOG" localSheetId="4">[14]Backup!#REF!</definedName>
    <definedName name="LOG" localSheetId="8">[14]Backup!#REF!</definedName>
    <definedName name="LOG">[14]Backup!#REF!</definedName>
    <definedName name="LOSS" localSheetId="6">[14]Backup!#REF!</definedName>
    <definedName name="LOSS" localSheetId="7">[14]Backup!#REF!</definedName>
    <definedName name="LOSS" localSheetId="9">[14]Backup!#REF!</definedName>
    <definedName name="LOSS" localSheetId="5">[14]Backup!#REF!</definedName>
    <definedName name="LOSS" localSheetId="3">[14]Backup!#REF!</definedName>
    <definedName name="LOSS" localSheetId="4">[14]Backup!#REF!</definedName>
    <definedName name="LOSS" localSheetId="8">[14]Backup!#REF!</definedName>
    <definedName name="LOSS">[14]Backup!#REF!</definedName>
    <definedName name="MACTIT" localSheetId="6">#REF!</definedName>
    <definedName name="MACTIT" localSheetId="7">#REF!</definedName>
    <definedName name="MACTIT" localSheetId="9">#REF!</definedName>
    <definedName name="MACTIT" localSheetId="5">#REF!</definedName>
    <definedName name="MACTIT" localSheetId="3">#REF!</definedName>
    <definedName name="MACTIT" localSheetId="4">#REF!</definedName>
    <definedName name="MACTIT" localSheetId="8">#REF!</definedName>
    <definedName name="MACTIT">#REF!</definedName>
    <definedName name="MAR" localSheetId="6">#REF!</definedName>
    <definedName name="MAR" localSheetId="7">#REF!</definedName>
    <definedName name="MAR" localSheetId="9">#REF!</definedName>
    <definedName name="MAR" localSheetId="5">#REF!</definedName>
    <definedName name="MAR" localSheetId="3">#REF!</definedName>
    <definedName name="MAR" localSheetId="4">#REF!</definedName>
    <definedName name="MAR" localSheetId="8">#REF!</definedName>
    <definedName name="MAR">[14]Backup!#REF!</definedName>
    <definedName name="MART" localSheetId="6">#REF!</definedName>
    <definedName name="MART" localSheetId="7">#REF!</definedName>
    <definedName name="MART" localSheetId="9">#REF!</definedName>
    <definedName name="MART" localSheetId="5">#REF!</definedName>
    <definedName name="MART" localSheetId="3">#REF!</definedName>
    <definedName name="MART" localSheetId="4">#REF!</definedName>
    <definedName name="MART" localSheetId="8">#REF!</definedName>
    <definedName name="MART">#REF!</definedName>
    <definedName name="MAY" localSheetId="6">#REF!</definedName>
    <definedName name="MAY" localSheetId="7">#REF!</definedName>
    <definedName name="MAY" localSheetId="9">#REF!</definedName>
    <definedName name="MAY" localSheetId="5">#REF!</definedName>
    <definedName name="MAY" localSheetId="3">#REF!</definedName>
    <definedName name="MAY" localSheetId="4">#REF!</definedName>
    <definedName name="MAY" localSheetId="8">#REF!</definedName>
    <definedName name="MAY">[14]Backup!#REF!</definedName>
    <definedName name="MAYT" localSheetId="6">#REF!</definedName>
    <definedName name="MAYT" localSheetId="7">#REF!</definedName>
    <definedName name="MAYT" localSheetId="9">#REF!</definedName>
    <definedName name="MAYT" localSheetId="5">#REF!</definedName>
    <definedName name="MAYT" localSheetId="3">#REF!</definedName>
    <definedName name="MAYT" localSheetId="4">#REF!</definedName>
    <definedName name="MAYT" localSheetId="8">#REF!</definedName>
    <definedName name="MAYT">#REF!</definedName>
    <definedName name="MCtoREV" localSheetId="6">#REF!</definedName>
    <definedName name="MCtoREV" localSheetId="7">#REF!</definedName>
    <definedName name="MCtoREV" localSheetId="9">#REF!</definedName>
    <definedName name="MCtoREV" localSheetId="5">#REF!</definedName>
    <definedName name="MCtoREV" localSheetId="3">#REF!</definedName>
    <definedName name="MCtoREV" localSheetId="4">#REF!</definedName>
    <definedName name="MCtoREV" localSheetId="8">#REF!</definedName>
    <definedName name="MCtoREV">#REF!</definedName>
    <definedName name="MEN" localSheetId="6">[1]Jan!#REF!</definedName>
    <definedName name="MEN" localSheetId="7">[1]Jan!#REF!</definedName>
    <definedName name="MEN" localSheetId="9">[1]Jan!#REF!</definedName>
    <definedName name="MEN" localSheetId="5">[1]Jan!#REF!</definedName>
    <definedName name="MEN" localSheetId="3">[1]Jan!#REF!</definedName>
    <definedName name="MEN" localSheetId="4">[1]Jan!#REF!</definedName>
    <definedName name="MEN" localSheetId="8">[1]Jan!#REF!</definedName>
    <definedName name="MEN">[1]Jan!#REF!</definedName>
    <definedName name="Menu_Begin" localSheetId="6">#REF!</definedName>
    <definedName name="Menu_Begin" localSheetId="7">#REF!</definedName>
    <definedName name="Menu_Begin" localSheetId="9">#REF!</definedName>
    <definedName name="Menu_Begin" localSheetId="5">#REF!</definedName>
    <definedName name="Menu_Begin" localSheetId="3">#REF!</definedName>
    <definedName name="Menu_Begin" localSheetId="4">#REF!</definedName>
    <definedName name="Menu_Begin" localSheetId="8">#REF!</definedName>
    <definedName name="Menu_Begin">#REF!</definedName>
    <definedName name="Menu_Caption" localSheetId="6">#REF!</definedName>
    <definedName name="Menu_Caption" localSheetId="7">#REF!</definedName>
    <definedName name="Menu_Caption" localSheetId="9">#REF!</definedName>
    <definedName name="Menu_Caption" localSheetId="5">#REF!</definedName>
    <definedName name="Menu_Caption" localSheetId="3">#REF!</definedName>
    <definedName name="Menu_Caption" localSheetId="4">#REF!</definedName>
    <definedName name="Menu_Caption" localSheetId="8">#REF!</definedName>
    <definedName name="Menu_Caption">#REF!</definedName>
    <definedName name="Menu_Large" localSheetId="6">#REF!</definedName>
    <definedName name="Menu_Large" localSheetId="7">#REF!</definedName>
    <definedName name="Menu_Large" localSheetId="9">#REF!</definedName>
    <definedName name="Menu_Large" localSheetId="5">#REF!</definedName>
    <definedName name="Menu_Large" localSheetId="3">#REF!</definedName>
    <definedName name="Menu_Large" localSheetId="4">#REF!</definedName>
    <definedName name="Menu_Large" localSheetId="8">#REF!</definedName>
    <definedName name="Menu_Large">#REF!</definedName>
    <definedName name="Menu_Name" localSheetId="6">#REF!</definedName>
    <definedName name="Menu_Name" localSheetId="7">#REF!</definedName>
    <definedName name="Menu_Name" localSheetId="9">#REF!</definedName>
    <definedName name="Menu_Name" localSheetId="5">#REF!</definedName>
    <definedName name="Menu_Name" localSheetId="3">#REF!</definedName>
    <definedName name="Menu_Name" localSheetId="4">#REF!</definedName>
    <definedName name="Menu_Name" localSheetId="8">#REF!</definedName>
    <definedName name="Menu_Name">#REF!</definedName>
    <definedName name="Menu_OnAction" localSheetId="6">#REF!</definedName>
    <definedName name="Menu_OnAction" localSheetId="7">#REF!</definedName>
    <definedName name="Menu_OnAction" localSheetId="9">#REF!</definedName>
    <definedName name="Menu_OnAction" localSheetId="5">#REF!</definedName>
    <definedName name="Menu_OnAction" localSheetId="3">#REF!</definedName>
    <definedName name="Menu_OnAction" localSheetId="4">#REF!</definedName>
    <definedName name="Menu_OnAction" localSheetId="8">#REF!</definedName>
    <definedName name="Menu_OnAction">#REF!</definedName>
    <definedName name="Menu_Parent" localSheetId="6">#REF!</definedName>
    <definedName name="Menu_Parent" localSheetId="7">#REF!</definedName>
    <definedName name="Menu_Parent" localSheetId="9">#REF!</definedName>
    <definedName name="Menu_Parent" localSheetId="5">#REF!</definedName>
    <definedName name="Menu_Parent" localSheetId="3">#REF!</definedName>
    <definedName name="Menu_Parent" localSheetId="4">#REF!</definedName>
    <definedName name="Menu_Parent" localSheetId="8">#REF!</definedName>
    <definedName name="Menu_Parent">#REF!</definedName>
    <definedName name="Menu_Small" localSheetId="6">#REF!</definedName>
    <definedName name="Menu_Small" localSheetId="7">#REF!</definedName>
    <definedName name="Menu_Small" localSheetId="9">#REF!</definedName>
    <definedName name="Menu_Small" localSheetId="5">#REF!</definedName>
    <definedName name="Menu_Small" localSheetId="3">#REF!</definedName>
    <definedName name="Menu_Small" localSheetId="4">#REF!</definedName>
    <definedName name="Menu_Small" localSheetId="8">#REF!</definedName>
    <definedName name="Menu_Small">#REF!</definedName>
    <definedName name="Method">[8]Inputs!$C$6</definedName>
    <definedName name="MONTH" localSheetId="6">[14]Backup!#REF!</definedName>
    <definedName name="MONTH" localSheetId="7">[14]Backup!#REF!</definedName>
    <definedName name="MONTH" localSheetId="9">[14]Backup!#REF!</definedName>
    <definedName name="MONTH" localSheetId="5">[14]Backup!#REF!</definedName>
    <definedName name="MONTH" localSheetId="3">[14]Backup!#REF!</definedName>
    <definedName name="MONTH" localSheetId="4">[14]Backup!#REF!</definedName>
    <definedName name="MONTH" localSheetId="8">[14]Backup!#REF!</definedName>
    <definedName name="MONTH">[14]Backup!#REF!</definedName>
    <definedName name="monthlist">[21]Table!$R$2:$S$13</definedName>
    <definedName name="monthtotals">'[21]WA SBC'!$D$40:$O$40</definedName>
    <definedName name="MTKWH" localSheetId="6">#REF!</definedName>
    <definedName name="MTKWH" localSheetId="7">#REF!</definedName>
    <definedName name="MTKWH" localSheetId="9">#REF!</definedName>
    <definedName name="MTKWH" localSheetId="5">#REF!</definedName>
    <definedName name="MTKWH" localSheetId="3">#REF!</definedName>
    <definedName name="MTKWH" localSheetId="4">#REF!</definedName>
    <definedName name="MTKWH" localSheetId="8">#REF!</definedName>
    <definedName name="MTKWH">#REF!</definedName>
    <definedName name="MTR_YR3">[22]Variables!$E$14</definedName>
    <definedName name="MTREV" localSheetId="6">#REF!</definedName>
    <definedName name="MTREV" localSheetId="7">#REF!</definedName>
    <definedName name="MTREV" localSheetId="9">#REF!</definedName>
    <definedName name="MTREV" localSheetId="5">#REF!</definedName>
    <definedName name="MTREV" localSheetId="3">#REF!</definedName>
    <definedName name="MTREV" localSheetId="4">#REF!</definedName>
    <definedName name="MTREV" localSheetId="8">#REF!</definedName>
    <definedName name="MTREV">#REF!</definedName>
    <definedName name="MULT" localSheetId="6">#REF!</definedName>
    <definedName name="MULT" localSheetId="7">#REF!</definedName>
    <definedName name="MULT" localSheetId="9">#REF!</definedName>
    <definedName name="MULT" localSheetId="5">#REF!</definedName>
    <definedName name="MULT" localSheetId="3">#REF!</definedName>
    <definedName name="MULT" localSheetId="4">#REF!</definedName>
    <definedName name="MULT" localSheetId="8">#REF!</definedName>
    <definedName name="MULT">#REF!</definedName>
    <definedName name="Net_to_Gross_Factor">[9]Inputs!$G$8</definedName>
    <definedName name="NetToGross">[13]Variables!$D$23</definedName>
    <definedName name="NEWMO1" localSheetId="6">[1]Jan!#REF!</definedName>
    <definedName name="NEWMO1" localSheetId="7">[1]Jan!#REF!</definedName>
    <definedName name="NEWMO1" localSheetId="9">[1]Jan!#REF!</definedName>
    <definedName name="NEWMO1" localSheetId="5">[1]Jan!#REF!</definedName>
    <definedName name="NEWMO1" localSheetId="3">[1]Jan!#REF!</definedName>
    <definedName name="NEWMO1" localSheetId="4">[1]Jan!#REF!</definedName>
    <definedName name="NEWMO1" localSheetId="8">[1]Jan!#REF!</definedName>
    <definedName name="NEWMO1">[1]Jan!#REF!</definedName>
    <definedName name="NEWMO2" localSheetId="6">[1]Jan!#REF!</definedName>
    <definedName name="NEWMO2" localSheetId="7">[1]Jan!#REF!</definedName>
    <definedName name="NEWMO2" localSheetId="9">[1]Jan!#REF!</definedName>
    <definedName name="NEWMO2" localSheetId="5">[1]Jan!#REF!</definedName>
    <definedName name="NEWMO2" localSheetId="3">[1]Jan!#REF!</definedName>
    <definedName name="NEWMO2" localSheetId="4">[1]Jan!#REF!</definedName>
    <definedName name="NEWMO2" localSheetId="8">[1]Jan!#REF!</definedName>
    <definedName name="NEWMO2">[1]Jan!#REF!</definedName>
    <definedName name="NEWMONTH" localSheetId="6">[1]Jan!#REF!</definedName>
    <definedName name="NEWMONTH" localSheetId="7">[1]Jan!#REF!</definedName>
    <definedName name="NEWMONTH" localSheetId="9">[1]Jan!#REF!</definedName>
    <definedName name="NEWMONTH" localSheetId="5">[1]Jan!#REF!</definedName>
    <definedName name="NEWMONTH" localSheetId="3">[1]Jan!#REF!</definedName>
    <definedName name="NEWMONTH" localSheetId="4">[1]Jan!#REF!</definedName>
    <definedName name="NEWMONTH" localSheetId="8">[1]Jan!#REF!</definedName>
    <definedName name="NEWMONTH">[1]Jan!#REF!</definedName>
    <definedName name="NORMALIZE" localSheetId="6">#REF!</definedName>
    <definedName name="NORMALIZE" localSheetId="7">#REF!</definedName>
    <definedName name="NORMALIZE" localSheetId="9">#REF!</definedName>
    <definedName name="NORMALIZE" localSheetId="5">#REF!</definedName>
    <definedName name="NORMALIZE" localSheetId="3">#REF!</definedName>
    <definedName name="NORMALIZE" localSheetId="4">#REF!</definedName>
    <definedName name="NORMALIZE" localSheetId="8">#REF!</definedName>
    <definedName name="NORMALIZE">#REF!</definedName>
    <definedName name="NOV" localSheetId="6">#REF!</definedName>
    <definedName name="NOV" localSheetId="7">#REF!</definedName>
    <definedName name="NOV" localSheetId="9">#REF!</definedName>
    <definedName name="NOV" localSheetId="5">#REF!</definedName>
    <definedName name="NOV" localSheetId="3">#REF!</definedName>
    <definedName name="NOV" localSheetId="4">#REF!</definedName>
    <definedName name="NOV" localSheetId="8">#REF!</definedName>
    <definedName name="NOV">[14]Backup!#REF!</definedName>
    <definedName name="NOVT" localSheetId="6">#REF!</definedName>
    <definedName name="NOVT" localSheetId="7">#REF!</definedName>
    <definedName name="NOVT" localSheetId="9">#REF!</definedName>
    <definedName name="NOVT" localSheetId="5">#REF!</definedName>
    <definedName name="NOVT" localSheetId="3">#REF!</definedName>
    <definedName name="NOVT" localSheetId="4">#REF!</definedName>
    <definedName name="NOVT" localSheetId="8">#REF!</definedName>
    <definedName name="NOVT">#REF!</definedName>
    <definedName name="NPC">[11]Inputs!$N$18</definedName>
    <definedName name="NUM" localSheetId="6">#REF!</definedName>
    <definedName name="NUM" localSheetId="7">#REF!</definedName>
    <definedName name="NUM" localSheetId="9">#REF!</definedName>
    <definedName name="NUM" localSheetId="5">#REF!</definedName>
    <definedName name="NUM" localSheetId="3">#REF!</definedName>
    <definedName name="NUM" localSheetId="4">#REF!</definedName>
    <definedName name="NUM" localSheetId="8">#REF!</definedName>
    <definedName name="NUM">#REF!</definedName>
    <definedName name="OCT" localSheetId="6">#REF!</definedName>
    <definedName name="OCT" localSheetId="7">#REF!</definedName>
    <definedName name="OCT" localSheetId="9">#REF!</definedName>
    <definedName name="OCT" localSheetId="5">#REF!</definedName>
    <definedName name="OCT" localSheetId="3">#REF!</definedName>
    <definedName name="OCT" localSheetId="4">#REF!</definedName>
    <definedName name="OCT" localSheetId="8">#REF!</definedName>
    <definedName name="OCT">[14]Backup!#REF!</definedName>
    <definedName name="OCTT" localSheetId="6">#REF!</definedName>
    <definedName name="OCTT" localSheetId="7">#REF!</definedName>
    <definedName name="OCTT" localSheetId="9">#REF!</definedName>
    <definedName name="OCTT" localSheetId="5">#REF!</definedName>
    <definedName name="OCTT" localSheetId="3">#REF!</definedName>
    <definedName name="OCTT" localSheetId="4">#REF!</definedName>
    <definedName name="OCTT" localSheetId="8">#REF!</definedName>
    <definedName name="OCTT">#REF!</definedName>
    <definedName name="ONE" localSheetId="6">[1]Jan!#REF!</definedName>
    <definedName name="ONE" localSheetId="7">[1]Jan!#REF!</definedName>
    <definedName name="ONE" localSheetId="9">[1]Jan!#REF!</definedName>
    <definedName name="ONE" localSheetId="5">[1]Jan!#REF!</definedName>
    <definedName name="ONE" localSheetId="3">[1]Jan!#REF!</definedName>
    <definedName name="ONE" localSheetId="4">[1]Jan!#REF!</definedName>
    <definedName name="ONE" localSheetId="8">[1]Jan!#REF!</definedName>
    <definedName name="ONE">[1]Jan!#REF!</definedName>
    <definedName name="option">'[23]Dist Misc'!$F$120</definedName>
    <definedName name="Page1" localSheetId="6">#REF!</definedName>
    <definedName name="Page1" localSheetId="7">#REF!</definedName>
    <definedName name="Page1" localSheetId="9">#REF!</definedName>
    <definedName name="Page1" localSheetId="5">#REF!</definedName>
    <definedName name="Page1" localSheetId="3">#REF!</definedName>
    <definedName name="Page1" localSheetId="4">#REF!</definedName>
    <definedName name="Page1" localSheetId="8">#REF!</definedName>
    <definedName name="Page1">#REF!</definedName>
    <definedName name="Page110" localSheetId="6">#REF!</definedName>
    <definedName name="Page110" localSheetId="7">#REF!</definedName>
    <definedName name="Page110" localSheetId="9">#REF!</definedName>
    <definedName name="Page110" localSheetId="5">#REF!</definedName>
    <definedName name="Page110" localSheetId="3">#REF!</definedName>
    <definedName name="Page110" localSheetId="4">#REF!</definedName>
    <definedName name="Page110" localSheetId="8">#REF!</definedName>
    <definedName name="Page110">#REF!</definedName>
    <definedName name="Page120" localSheetId="6">#REF!</definedName>
    <definedName name="Page120" localSheetId="7">#REF!</definedName>
    <definedName name="Page120" localSheetId="9">#REF!</definedName>
    <definedName name="Page120" localSheetId="5">#REF!</definedName>
    <definedName name="Page120" localSheetId="3">#REF!</definedName>
    <definedName name="Page120" localSheetId="4">#REF!</definedName>
    <definedName name="Page120" localSheetId="8">#REF!</definedName>
    <definedName name="Page120">#REF!</definedName>
    <definedName name="Page2" localSheetId="6">#REF!</definedName>
    <definedName name="Page2" localSheetId="7">#REF!</definedName>
    <definedName name="Page2" localSheetId="9">#REF!</definedName>
    <definedName name="Page2" localSheetId="5">#REF!</definedName>
    <definedName name="Page2" localSheetId="3">#REF!</definedName>
    <definedName name="Page2" localSheetId="4">#REF!</definedName>
    <definedName name="Page2" localSheetId="8">#REF!</definedName>
    <definedName name="Page2">#REF!</definedName>
    <definedName name="PAGE3" localSheetId="6">#REF!</definedName>
    <definedName name="PAGE3" localSheetId="7">#REF!</definedName>
    <definedName name="PAGE3" localSheetId="9">#REF!</definedName>
    <definedName name="PAGE3" localSheetId="5">#REF!</definedName>
    <definedName name="PAGE3" localSheetId="3">#REF!</definedName>
    <definedName name="PAGE3" localSheetId="4">#REF!</definedName>
    <definedName name="PAGE3" localSheetId="8">#REF!</definedName>
    <definedName name="PAGE3">#REF!</definedName>
    <definedName name="Page4" localSheetId="6">#REF!</definedName>
    <definedName name="Page4" localSheetId="7">#REF!</definedName>
    <definedName name="Page4" localSheetId="9">#REF!</definedName>
    <definedName name="Page4" localSheetId="5">#REF!</definedName>
    <definedName name="Page4" localSheetId="3">#REF!</definedName>
    <definedName name="Page4" localSheetId="4">#REF!</definedName>
    <definedName name="Page4" localSheetId="8">#REF!</definedName>
    <definedName name="Page4">#REF!</definedName>
    <definedName name="Page5" localSheetId="6">#REF!</definedName>
    <definedName name="Page5" localSheetId="7">#REF!</definedName>
    <definedName name="Page5" localSheetId="9">#REF!</definedName>
    <definedName name="Page5" localSheetId="5">#REF!</definedName>
    <definedName name="Page5" localSheetId="3">#REF!</definedName>
    <definedName name="Page5" localSheetId="4">#REF!</definedName>
    <definedName name="Page5" localSheetId="8">#REF!</definedName>
    <definedName name="Page5">#REF!</definedName>
    <definedName name="Page6" localSheetId="6">#REF!</definedName>
    <definedName name="Page6" localSheetId="7">#REF!</definedName>
    <definedName name="Page6" localSheetId="9">#REF!</definedName>
    <definedName name="Page6" localSheetId="5">#REF!</definedName>
    <definedName name="Page6" localSheetId="3">#REF!</definedName>
    <definedName name="Page6" localSheetId="4">#REF!</definedName>
    <definedName name="Page6" localSheetId="8">#REF!</definedName>
    <definedName name="Page6">#REF!</definedName>
    <definedName name="Page62" localSheetId="6">[24]TransInvest!#REF!</definedName>
    <definedName name="Page62" localSheetId="7">[24]TransInvest!#REF!</definedName>
    <definedName name="Page62" localSheetId="9">[24]TransInvest!#REF!</definedName>
    <definedName name="Page62" localSheetId="5">[24]TransInvest!#REF!</definedName>
    <definedName name="Page62" localSheetId="3">[24]TransInvest!#REF!</definedName>
    <definedName name="Page62" localSheetId="4">[24]TransInvest!#REF!</definedName>
    <definedName name="Page62" localSheetId="8">[24]TransInvest!#REF!</definedName>
    <definedName name="Page62">[24]TransInvest!#REF!</definedName>
    <definedName name="page65" localSheetId="6">#REF!</definedName>
    <definedName name="page65" localSheetId="7">#REF!</definedName>
    <definedName name="page65" localSheetId="9">#REF!</definedName>
    <definedName name="page65" localSheetId="5">#REF!</definedName>
    <definedName name="page65" localSheetId="3">#REF!</definedName>
    <definedName name="page65" localSheetId="4">#REF!</definedName>
    <definedName name="page65" localSheetId="8">#REF!</definedName>
    <definedName name="page65">#REF!</definedName>
    <definedName name="page66" localSheetId="6">#REF!</definedName>
    <definedName name="page66" localSheetId="7">#REF!</definedName>
    <definedName name="page66" localSheetId="9">#REF!</definedName>
    <definedName name="page66" localSheetId="5">#REF!</definedName>
    <definedName name="page66" localSheetId="3">#REF!</definedName>
    <definedName name="page66" localSheetId="4">#REF!</definedName>
    <definedName name="page66" localSheetId="8">#REF!</definedName>
    <definedName name="page66">#REF!</definedName>
    <definedName name="page67" localSheetId="6">#REF!</definedName>
    <definedName name="page67" localSheetId="7">#REF!</definedName>
    <definedName name="page67" localSheetId="9">#REF!</definedName>
    <definedName name="page67" localSheetId="5">#REF!</definedName>
    <definedName name="page67" localSheetId="3">#REF!</definedName>
    <definedName name="page67" localSheetId="4">#REF!</definedName>
    <definedName name="page67" localSheetId="8">#REF!</definedName>
    <definedName name="page67">#REF!</definedName>
    <definedName name="page68" localSheetId="6">#REF!</definedName>
    <definedName name="page68" localSheetId="7">#REF!</definedName>
    <definedName name="page68" localSheetId="9">#REF!</definedName>
    <definedName name="page68" localSheetId="5">#REF!</definedName>
    <definedName name="page68" localSheetId="3">#REF!</definedName>
    <definedName name="page68" localSheetId="4">#REF!</definedName>
    <definedName name="page68" localSheetId="8">#REF!</definedName>
    <definedName name="page68">#REF!</definedName>
    <definedName name="page69" localSheetId="6">#REF!</definedName>
    <definedName name="page69" localSheetId="7">#REF!</definedName>
    <definedName name="page69" localSheetId="9">#REF!</definedName>
    <definedName name="page69" localSheetId="5">#REF!</definedName>
    <definedName name="page69" localSheetId="3">#REF!</definedName>
    <definedName name="page69" localSheetId="4">#REF!</definedName>
    <definedName name="page69" localSheetId="8">#REF!</definedName>
    <definedName name="page69">#REF!</definedName>
    <definedName name="Page7" localSheetId="6">#REF!</definedName>
    <definedName name="Page7" localSheetId="7">#REF!</definedName>
    <definedName name="Page7" localSheetId="9">#REF!</definedName>
    <definedName name="Page7" localSheetId="5">#REF!</definedName>
    <definedName name="Page7" localSheetId="3">#REF!</definedName>
    <definedName name="Page7" localSheetId="4">#REF!</definedName>
    <definedName name="Page7" localSheetId="8">#REF!</definedName>
    <definedName name="Page7">#REF!</definedName>
    <definedName name="page8" localSheetId="6">#REF!</definedName>
    <definedName name="page8" localSheetId="7">#REF!</definedName>
    <definedName name="page8" localSheetId="9">#REF!</definedName>
    <definedName name="page8" localSheetId="5">#REF!</definedName>
    <definedName name="page8" localSheetId="3">#REF!</definedName>
    <definedName name="page8" localSheetId="4">#REF!</definedName>
    <definedName name="page8" localSheetId="8">#REF!</definedName>
    <definedName name="page8">#REF!</definedName>
    <definedName name="PALL" localSheetId="6">#REF!</definedName>
    <definedName name="PALL" localSheetId="7">#REF!</definedName>
    <definedName name="PALL" localSheetId="9">#REF!</definedName>
    <definedName name="PALL" localSheetId="5">#REF!</definedName>
    <definedName name="PALL" localSheetId="3">#REF!</definedName>
    <definedName name="PALL" localSheetId="4">#REF!</definedName>
    <definedName name="PALL" localSheetId="8">#REF!</definedName>
    <definedName name="PALL">#REF!</definedName>
    <definedName name="PBLOCK" localSheetId="6">#REF!</definedName>
    <definedName name="PBLOCK" localSheetId="7">#REF!</definedName>
    <definedName name="PBLOCK" localSheetId="9">#REF!</definedName>
    <definedName name="PBLOCK" localSheetId="5">#REF!</definedName>
    <definedName name="PBLOCK" localSheetId="3">#REF!</definedName>
    <definedName name="PBLOCK" localSheetId="4">#REF!</definedName>
    <definedName name="PBLOCK" localSheetId="8">#REF!</definedName>
    <definedName name="PBLOCK">#REF!</definedName>
    <definedName name="PBLOCKWZ" localSheetId="6">#REF!</definedName>
    <definedName name="PBLOCKWZ" localSheetId="7">#REF!</definedName>
    <definedName name="PBLOCKWZ" localSheetId="9">#REF!</definedName>
    <definedName name="PBLOCKWZ" localSheetId="5">#REF!</definedName>
    <definedName name="PBLOCKWZ" localSheetId="3">#REF!</definedName>
    <definedName name="PBLOCKWZ" localSheetId="4">#REF!</definedName>
    <definedName name="PBLOCKWZ" localSheetId="8">#REF!</definedName>
    <definedName name="PBLOCKWZ">#REF!</definedName>
    <definedName name="PCOMP" localSheetId="6">#REF!</definedName>
    <definedName name="PCOMP" localSheetId="7">#REF!</definedName>
    <definedName name="PCOMP" localSheetId="9">#REF!</definedName>
    <definedName name="PCOMP" localSheetId="5">#REF!</definedName>
    <definedName name="PCOMP" localSheetId="3">#REF!</definedName>
    <definedName name="PCOMP" localSheetId="4">#REF!</definedName>
    <definedName name="PCOMP" localSheetId="8">#REF!</definedName>
    <definedName name="PCOMP">#REF!</definedName>
    <definedName name="PCOMPOSITES" localSheetId="6">#REF!</definedName>
    <definedName name="PCOMPOSITES" localSheetId="7">#REF!</definedName>
    <definedName name="PCOMPOSITES" localSheetId="9">#REF!</definedName>
    <definedName name="PCOMPOSITES" localSheetId="5">#REF!</definedName>
    <definedName name="PCOMPOSITES" localSheetId="3">#REF!</definedName>
    <definedName name="PCOMPOSITES" localSheetId="4">#REF!</definedName>
    <definedName name="PCOMPOSITES" localSheetId="8">#REF!</definedName>
    <definedName name="PCOMPOSITES">#REF!</definedName>
    <definedName name="PCOMPWZ" localSheetId="6">#REF!</definedName>
    <definedName name="PCOMPWZ" localSheetId="7">#REF!</definedName>
    <definedName name="PCOMPWZ" localSheetId="9">#REF!</definedName>
    <definedName name="PCOMPWZ" localSheetId="5">#REF!</definedName>
    <definedName name="PCOMPWZ" localSheetId="3">#REF!</definedName>
    <definedName name="PCOMPWZ" localSheetId="4">#REF!</definedName>
    <definedName name="PCOMPWZ" localSheetId="8">#REF!</definedName>
    <definedName name="PCOMPWZ">#REF!</definedName>
    <definedName name="PeakMethod">[8]Inputs!$T$5</definedName>
    <definedName name="PMAC" localSheetId="6">[14]Backup!#REF!</definedName>
    <definedName name="PMAC" localSheetId="7">[14]Backup!#REF!</definedName>
    <definedName name="PMAC" localSheetId="9">[14]Backup!#REF!</definedName>
    <definedName name="PMAC" localSheetId="5">[14]Backup!#REF!</definedName>
    <definedName name="PMAC" localSheetId="3">[14]Backup!#REF!</definedName>
    <definedName name="PMAC" localSheetId="4">[14]Backup!#REF!</definedName>
    <definedName name="PMAC" localSheetId="8">[14]Backup!#REF!</definedName>
    <definedName name="PMAC">[14]Backup!#REF!</definedName>
    <definedName name="PRESENT" localSheetId="6">#REF!</definedName>
    <definedName name="PRESENT" localSheetId="7">#REF!</definedName>
    <definedName name="PRESENT" localSheetId="9">#REF!</definedName>
    <definedName name="PRESENT" localSheetId="5">#REF!</definedName>
    <definedName name="PRESENT" localSheetId="3">#REF!</definedName>
    <definedName name="PRESENT" localSheetId="4">#REF!</definedName>
    <definedName name="PRESENT" localSheetId="8">#REF!</definedName>
    <definedName name="PRESENT">#REF!</definedName>
    <definedName name="PRICCHNG" localSheetId="6">#REF!</definedName>
    <definedName name="PRICCHNG" localSheetId="7">#REF!</definedName>
    <definedName name="PRICCHNG" localSheetId="9">#REF!</definedName>
    <definedName name="PRICCHNG" localSheetId="5">#REF!</definedName>
    <definedName name="PRICCHNG" localSheetId="3">#REF!</definedName>
    <definedName name="PRICCHNG" localSheetId="4">#REF!</definedName>
    <definedName name="PRICCHNG" localSheetId="8">#REF!</definedName>
    <definedName name="PRICCHNG">#REF!</definedName>
    <definedName name="_xlnm.Print_Area" localSheetId="6">'Exh. JAP-39 (CAMP RD)'!$A$1:$N$82</definedName>
    <definedName name="_xlnm.Print_Area" localSheetId="7">'Exh. JAP-39 (HV RD)'!$A$1:$M$40</definedName>
    <definedName name="_xlnm.Print_Area" localSheetId="9">'Exh. JAP-39 (LIGHT RD)'!$A$1:$M$22</definedName>
    <definedName name="_xlnm.Print_Area" localSheetId="2">'Exh. JAP-39 (Prof-Prop)'!$B$1:$R$49</definedName>
    <definedName name="_xlnm.Print_Area" localSheetId="5">'Exh. JAP-39 (PV RD)'!$A$1:$M$74</definedName>
    <definedName name="_xlnm.Print_Area" localSheetId="1">'Exh. JAP-39 (Rate Spread)'!$A$1:$K$39</definedName>
    <definedName name="_xlnm.Print_Area" localSheetId="3">'Exh. JAP-39 (Res RD)'!$A$1:$M$24</definedName>
    <definedName name="_xlnm.Print_Area" localSheetId="4">'Exh. JAP-39 (SV RD)'!$A$1:$M$126</definedName>
    <definedName name="_xlnm.Print_Area" localSheetId="0">'Exh. JAP-39 (Tariff)'!$A$1:$J$180</definedName>
    <definedName name="_xlnm.Print_Area" localSheetId="8">'Exh. JAP-39 (TRANSP RD)'!$A$1:$M$48</definedName>
    <definedName name="_xlnm.Print_Titles" localSheetId="6">'Exh. JAP-39 (CAMP RD)'!$1:$10</definedName>
    <definedName name="_xlnm.Print_Titles" localSheetId="7">'Exh. JAP-39 (HV RD)'!$1:$10</definedName>
    <definedName name="_xlnm.Print_Titles" localSheetId="9">'Exh. JAP-39 (LIGHT RD)'!$1:$10</definedName>
    <definedName name="_xlnm.Print_Titles" localSheetId="5">'Exh. JAP-39 (PV RD)'!$1:$10</definedName>
    <definedName name="_xlnm.Print_Titles" localSheetId="3">'Exh. JAP-39 (Res RD)'!$1:$10</definedName>
    <definedName name="_xlnm.Print_Titles" localSheetId="4">'Exh. JAP-39 (SV RD)'!$1:$10</definedName>
    <definedName name="_xlnm.Print_Titles" localSheetId="0">'Exh. JAP-39 (Tariff)'!$1:$6</definedName>
    <definedName name="_xlnm.Print_Titles" localSheetId="8">'Exh. JAP-39 (TRANSP RD)'!$1:$10</definedName>
    <definedName name="PTABLES" localSheetId="6">#REF!</definedName>
    <definedName name="PTABLES" localSheetId="7">#REF!</definedName>
    <definedName name="PTABLES" localSheetId="9">#REF!</definedName>
    <definedName name="PTABLES" localSheetId="5">#REF!</definedName>
    <definedName name="PTABLES" localSheetId="3">#REF!</definedName>
    <definedName name="PTABLES" localSheetId="4">#REF!</definedName>
    <definedName name="PTABLES" localSheetId="8">#REF!</definedName>
    <definedName name="PTABLES">#REF!</definedName>
    <definedName name="PTDMOD" localSheetId="6">#REF!</definedName>
    <definedName name="PTDMOD" localSheetId="7">#REF!</definedName>
    <definedName name="PTDMOD" localSheetId="9">#REF!</definedName>
    <definedName name="PTDMOD" localSheetId="5">#REF!</definedName>
    <definedName name="PTDMOD" localSheetId="3">#REF!</definedName>
    <definedName name="PTDMOD" localSheetId="4">#REF!</definedName>
    <definedName name="PTDMOD" localSheetId="8">#REF!</definedName>
    <definedName name="PTDMOD">#REF!</definedName>
    <definedName name="PTDROLL" localSheetId="6">#REF!</definedName>
    <definedName name="PTDROLL" localSheetId="7">#REF!</definedName>
    <definedName name="PTDROLL" localSheetId="9">#REF!</definedName>
    <definedName name="PTDROLL" localSheetId="5">#REF!</definedName>
    <definedName name="PTDROLL" localSheetId="3">#REF!</definedName>
    <definedName name="PTDROLL" localSheetId="4">#REF!</definedName>
    <definedName name="PTDROLL" localSheetId="8">#REF!</definedName>
    <definedName name="PTDROLL">#REF!</definedName>
    <definedName name="PTMOD" localSheetId="6">#REF!</definedName>
    <definedName name="PTMOD" localSheetId="7">#REF!</definedName>
    <definedName name="PTMOD" localSheetId="9">#REF!</definedName>
    <definedName name="PTMOD" localSheetId="5">#REF!</definedName>
    <definedName name="PTMOD" localSheetId="3">#REF!</definedName>
    <definedName name="PTMOD" localSheetId="4">#REF!</definedName>
    <definedName name="PTMOD" localSheetId="8">#REF!</definedName>
    <definedName name="PTMOD">#REF!</definedName>
    <definedName name="PTROLL" localSheetId="6">#REF!</definedName>
    <definedName name="PTROLL" localSheetId="7">#REF!</definedName>
    <definedName name="PTROLL" localSheetId="9">#REF!</definedName>
    <definedName name="PTROLL" localSheetId="5">#REF!</definedName>
    <definedName name="PTROLL" localSheetId="3">#REF!</definedName>
    <definedName name="PTROLL" localSheetId="4">#REF!</definedName>
    <definedName name="PTROLL" localSheetId="8">#REF!</definedName>
    <definedName name="PTROLL">#REF!</definedName>
    <definedName name="PWORKBACK" localSheetId="6">#REF!</definedName>
    <definedName name="PWORKBACK" localSheetId="7">#REF!</definedName>
    <definedName name="PWORKBACK" localSheetId="9">#REF!</definedName>
    <definedName name="PWORKBACK" localSheetId="5">#REF!</definedName>
    <definedName name="PWORKBACK" localSheetId="3">#REF!</definedName>
    <definedName name="PWORKBACK" localSheetId="4">#REF!</definedName>
    <definedName name="PWORKBACK" localSheetId="8">#REF!</definedName>
    <definedName name="PWORKBACK">#REF!</definedName>
    <definedName name="Query1" localSheetId="6">#REF!</definedName>
    <definedName name="Query1" localSheetId="7">#REF!</definedName>
    <definedName name="Query1" localSheetId="9">#REF!</definedName>
    <definedName name="Query1" localSheetId="5">#REF!</definedName>
    <definedName name="Query1" localSheetId="3">#REF!</definedName>
    <definedName name="Query1" localSheetId="4">#REF!</definedName>
    <definedName name="Query1" localSheetId="8">#REF!</definedName>
    <definedName name="Query1">#REF!</definedName>
    <definedName name="Rates">[25]Codes!$A$1:$C$500</definedName>
    <definedName name="RC_ADJ" localSheetId="6">#REF!</definedName>
    <definedName name="RC_ADJ" localSheetId="7">#REF!</definedName>
    <definedName name="RC_ADJ" localSheetId="9">#REF!</definedName>
    <definedName name="RC_ADJ" localSheetId="5">#REF!</definedName>
    <definedName name="RC_ADJ" localSheetId="3">#REF!</definedName>
    <definedName name="RC_ADJ" localSheetId="4">#REF!</definedName>
    <definedName name="RC_ADJ" localSheetId="8">#REF!</definedName>
    <definedName name="RC_ADJ">#REF!</definedName>
    <definedName name="RESADJ" localSheetId="6">#REF!</definedName>
    <definedName name="RESADJ" localSheetId="7">#REF!</definedName>
    <definedName name="RESADJ" localSheetId="9">#REF!</definedName>
    <definedName name="RESADJ" localSheetId="5">#REF!</definedName>
    <definedName name="RESADJ" localSheetId="3">#REF!</definedName>
    <definedName name="RESADJ" localSheetId="4">#REF!</definedName>
    <definedName name="RESADJ" localSheetId="8">#REF!</definedName>
    <definedName name="RESADJ">#REF!</definedName>
    <definedName name="ResourceSupplier">[13]Variables!$D$28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_SCHD" localSheetId="6">#REF!</definedName>
    <definedName name="REV_SCHD" localSheetId="7">#REF!</definedName>
    <definedName name="REV_SCHD" localSheetId="9">#REF!</definedName>
    <definedName name="REV_SCHD" localSheetId="5">#REF!</definedName>
    <definedName name="REV_SCHD" localSheetId="3">#REF!</definedName>
    <definedName name="REV_SCHD" localSheetId="4">#REF!</definedName>
    <definedName name="REV_SCHD" localSheetId="8">#REF!</definedName>
    <definedName name="REV_SCHD">#REF!</definedName>
    <definedName name="RevClass">[25]Codes!$F$2:$G$10</definedName>
    <definedName name="Revenue_by_month_take_2" localSheetId="6">#REF!</definedName>
    <definedName name="Revenue_by_month_take_2" localSheetId="7">#REF!</definedName>
    <definedName name="Revenue_by_month_take_2" localSheetId="9">#REF!</definedName>
    <definedName name="Revenue_by_month_take_2" localSheetId="5">#REF!</definedName>
    <definedName name="Revenue_by_month_take_2" localSheetId="3">#REF!</definedName>
    <definedName name="Revenue_by_month_take_2" localSheetId="4">#REF!</definedName>
    <definedName name="Revenue_by_month_take_2" localSheetId="8">#REF!</definedName>
    <definedName name="Revenue_by_month_take_2">#REF!</definedName>
    <definedName name="RevenueCheck" localSheetId="6">#REF!</definedName>
    <definedName name="RevenueCheck" localSheetId="7">#REF!</definedName>
    <definedName name="RevenueCheck" localSheetId="9">#REF!</definedName>
    <definedName name="RevenueCheck" localSheetId="5">#REF!</definedName>
    <definedName name="RevenueCheck" localSheetId="3">#REF!</definedName>
    <definedName name="RevenueCheck" localSheetId="4">#REF!</definedName>
    <definedName name="RevenueCheck" localSheetId="8">#REF!</definedName>
    <definedName name="RevenueCheck">#REF!</definedName>
    <definedName name="RevReqSettle" localSheetId="6">#REF!</definedName>
    <definedName name="RevReqSettle" localSheetId="7">#REF!</definedName>
    <definedName name="RevReqSettle" localSheetId="9">#REF!</definedName>
    <definedName name="RevReqSettle" localSheetId="5">#REF!</definedName>
    <definedName name="RevReqSettle" localSheetId="3">#REF!</definedName>
    <definedName name="RevReqSettle" localSheetId="4">#REF!</definedName>
    <definedName name="RevReqSettle" localSheetId="8">#REF!</definedName>
    <definedName name="RevReqSettle">#REF!</definedName>
    <definedName name="REVVSTRS" localSheetId="6">#REF!</definedName>
    <definedName name="REVVSTRS" localSheetId="7">#REF!</definedName>
    <definedName name="REVVSTRS" localSheetId="9">#REF!</definedName>
    <definedName name="REVVSTRS" localSheetId="5">#REF!</definedName>
    <definedName name="REVVSTRS" localSheetId="3">#REF!</definedName>
    <definedName name="REVVSTRS" localSheetId="4">#REF!</definedName>
    <definedName name="REVVSTRS" localSheetId="8">#REF!</definedName>
    <definedName name="REVVSTRS">#REF!</definedName>
    <definedName name="RISFORM" localSheetId="6">#REF!</definedName>
    <definedName name="RISFORM" localSheetId="7">#REF!</definedName>
    <definedName name="RISFORM" localSheetId="9">#REF!</definedName>
    <definedName name="RISFORM" localSheetId="5">#REF!</definedName>
    <definedName name="RISFORM" localSheetId="3">#REF!</definedName>
    <definedName name="RISFORM" localSheetId="4">#REF!</definedName>
    <definedName name="RISFORM" localSheetId="8">#REF!</definedName>
    <definedName name="RISFORM">#REF!</definedName>
    <definedName name="SCH33CUSTS" localSheetId="6">#REF!</definedName>
    <definedName name="SCH33CUSTS" localSheetId="7">#REF!</definedName>
    <definedName name="SCH33CUSTS" localSheetId="9">#REF!</definedName>
    <definedName name="SCH33CUSTS" localSheetId="5">#REF!</definedName>
    <definedName name="SCH33CUSTS" localSheetId="3">#REF!</definedName>
    <definedName name="SCH33CUSTS" localSheetId="4">#REF!</definedName>
    <definedName name="SCH33CUSTS" localSheetId="8">#REF!</definedName>
    <definedName name="SCH33CUSTS">#REF!</definedName>
    <definedName name="SCH48ADJ" localSheetId="6">#REF!</definedName>
    <definedName name="SCH48ADJ" localSheetId="7">#REF!</definedName>
    <definedName name="SCH48ADJ" localSheetId="9">#REF!</definedName>
    <definedName name="SCH48ADJ" localSheetId="5">#REF!</definedName>
    <definedName name="SCH48ADJ" localSheetId="3">#REF!</definedName>
    <definedName name="SCH48ADJ" localSheetId="4">#REF!</definedName>
    <definedName name="SCH48ADJ" localSheetId="8">#REF!</definedName>
    <definedName name="SCH48ADJ">#REF!</definedName>
    <definedName name="SCH98NOR" localSheetId="6">#REF!</definedName>
    <definedName name="SCH98NOR" localSheetId="7">#REF!</definedName>
    <definedName name="SCH98NOR" localSheetId="9">#REF!</definedName>
    <definedName name="SCH98NOR" localSheetId="5">#REF!</definedName>
    <definedName name="SCH98NOR" localSheetId="3">#REF!</definedName>
    <definedName name="SCH98NOR" localSheetId="4">#REF!</definedName>
    <definedName name="SCH98NOR" localSheetId="8">#REF!</definedName>
    <definedName name="SCH98NOR">#REF!</definedName>
    <definedName name="SCHED47" localSheetId="6">#REF!</definedName>
    <definedName name="SCHED47" localSheetId="7">#REF!</definedName>
    <definedName name="SCHED47" localSheetId="9">#REF!</definedName>
    <definedName name="SCHED47" localSheetId="5">#REF!</definedName>
    <definedName name="SCHED47" localSheetId="3">#REF!</definedName>
    <definedName name="SCHED47" localSheetId="4">#REF!</definedName>
    <definedName name="SCHED47" localSheetId="8">#REF!</definedName>
    <definedName name="SCHED47">#REF!</definedName>
    <definedName name="Schedule">[11]Inputs!$N$14</definedName>
    <definedName name="se" localSheetId="6">#REF!</definedName>
    <definedName name="se" localSheetId="7">#REF!</definedName>
    <definedName name="se" localSheetId="9">#REF!</definedName>
    <definedName name="se" localSheetId="5">#REF!</definedName>
    <definedName name="se" localSheetId="3">#REF!</definedName>
    <definedName name="se" localSheetId="4">#REF!</definedName>
    <definedName name="se" localSheetId="8">#REF!</definedName>
    <definedName name="se">#REF!</definedName>
    <definedName name="SECOND" localSheetId="6">[1]Jan!#REF!</definedName>
    <definedName name="SECOND" localSheetId="7">[1]Jan!#REF!</definedName>
    <definedName name="SECOND" localSheetId="9">[1]Jan!#REF!</definedName>
    <definedName name="SECOND" localSheetId="5">[1]Jan!#REF!</definedName>
    <definedName name="SECOND" localSheetId="3">[1]Jan!#REF!</definedName>
    <definedName name="SECOND" localSheetId="4">[1]Jan!#REF!</definedName>
    <definedName name="SECOND" localSheetId="8">[1]Jan!#REF!</definedName>
    <definedName name="SECOND">[1]Jan!#REF!</definedName>
    <definedName name="SEP" localSheetId="6">#REF!</definedName>
    <definedName name="SEP" localSheetId="7">#REF!</definedName>
    <definedName name="SEP" localSheetId="9">#REF!</definedName>
    <definedName name="SEP" localSheetId="5">#REF!</definedName>
    <definedName name="SEP" localSheetId="3">#REF!</definedName>
    <definedName name="SEP" localSheetId="4">#REF!</definedName>
    <definedName name="SEP" localSheetId="8">#REF!</definedName>
    <definedName name="SEP">[14]Backup!#REF!</definedName>
    <definedName name="SEPT" localSheetId="6">#REF!</definedName>
    <definedName name="SEPT" localSheetId="7">#REF!</definedName>
    <definedName name="SEPT" localSheetId="9">#REF!</definedName>
    <definedName name="SEPT" localSheetId="5">#REF!</definedName>
    <definedName name="SEPT" localSheetId="3">#REF!</definedName>
    <definedName name="SEPT" localSheetId="4">#REF!</definedName>
    <definedName name="SEPT" localSheetId="8">#REF!</definedName>
    <definedName name="SEPT">#REF!</definedName>
    <definedName name="SERVICES_3" localSheetId="6">#REF!</definedName>
    <definedName name="SERVICES_3" localSheetId="7">#REF!</definedName>
    <definedName name="SERVICES_3" localSheetId="9">#REF!</definedName>
    <definedName name="SERVICES_3" localSheetId="5">#REF!</definedName>
    <definedName name="SERVICES_3" localSheetId="3">#REF!</definedName>
    <definedName name="SERVICES_3" localSheetId="4">#REF!</definedName>
    <definedName name="SERVICES_3" localSheetId="8">#REF!</definedName>
    <definedName name="SERVICES_3">#REF!</definedName>
    <definedName name="sg" localSheetId="6">#REF!</definedName>
    <definedName name="sg" localSheetId="7">#REF!</definedName>
    <definedName name="sg" localSheetId="9">#REF!</definedName>
    <definedName name="sg" localSheetId="5">#REF!</definedName>
    <definedName name="sg" localSheetId="3">#REF!</definedName>
    <definedName name="sg" localSheetId="4">#REF!</definedName>
    <definedName name="sg" localSheetId="8">#REF!</definedName>
    <definedName name="sg">#REF!</definedName>
    <definedName name="START" localSheetId="6">[1]Jan!#REF!</definedName>
    <definedName name="START" localSheetId="7">[1]Jan!#REF!</definedName>
    <definedName name="START" localSheetId="9">[1]Jan!#REF!</definedName>
    <definedName name="START" localSheetId="5">[1]Jan!#REF!</definedName>
    <definedName name="START" localSheetId="3">[1]Jan!#REF!</definedName>
    <definedName name="START" localSheetId="4">[1]Jan!#REF!</definedName>
    <definedName name="START" localSheetId="8">[1]Jan!#REF!</definedName>
    <definedName name="START">[1]Jan!#REF!</definedName>
    <definedName name="SUM_TAB1" localSheetId="6">#REF!</definedName>
    <definedName name="SUM_TAB1" localSheetId="7">#REF!</definedName>
    <definedName name="SUM_TAB1" localSheetId="9">#REF!</definedName>
    <definedName name="SUM_TAB1" localSheetId="5">#REF!</definedName>
    <definedName name="SUM_TAB1" localSheetId="3">#REF!</definedName>
    <definedName name="SUM_TAB1" localSheetId="4">#REF!</definedName>
    <definedName name="SUM_TAB1" localSheetId="8">#REF!</definedName>
    <definedName name="SUM_TAB1">#REF!</definedName>
    <definedName name="SUM_TAB2" localSheetId="6">#REF!</definedName>
    <definedName name="SUM_TAB2" localSheetId="7">#REF!</definedName>
    <definedName name="SUM_TAB2" localSheetId="9">#REF!</definedName>
    <definedName name="SUM_TAB2" localSheetId="5">#REF!</definedName>
    <definedName name="SUM_TAB2" localSheetId="3">#REF!</definedName>
    <definedName name="SUM_TAB2" localSheetId="4">#REF!</definedName>
    <definedName name="SUM_TAB2" localSheetId="8">#REF!</definedName>
    <definedName name="SUM_TAB2">#REF!</definedName>
    <definedName name="SUM_TAB3" localSheetId="6">#REF!</definedName>
    <definedName name="SUM_TAB3" localSheetId="7">#REF!</definedName>
    <definedName name="SUM_TAB3" localSheetId="9">#REF!</definedName>
    <definedName name="SUM_TAB3" localSheetId="5">#REF!</definedName>
    <definedName name="SUM_TAB3" localSheetId="3">#REF!</definedName>
    <definedName name="SUM_TAB3" localSheetId="4">#REF!</definedName>
    <definedName name="SUM_TAB3" localSheetId="8">#REF!</definedName>
    <definedName name="SUM_TAB3">#REF!</definedName>
    <definedName name="TABLE_1" localSheetId="6">#REF!</definedName>
    <definedName name="TABLE_1" localSheetId="7">#REF!</definedName>
    <definedName name="TABLE_1" localSheetId="9">#REF!</definedName>
    <definedName name="TABLE_1" localSheetId="5">#REF!</definedName>
    <definedName name="TABLE_1" localSheetId="3">#REF!</definedName>
    <definedName name="TABLE_1" localSheetId="4">#REF!</definedName>
    <definedName name="TABLE_1" localSheetId="8">#REF!</definedName>
    <definedName name="TABLE_1">#REF!</definedName>
    <definedName name="TABLE_2" localSheetId="6">#REF!</definedName>
    <definedName name="TABLE_2" localSheetId="7">#REF!</definedName>
    <definedName name="TABLE_2" localSheetId="9">#REF!</definedName>
    <definedName name="TABLE_2" localSheetId="5">#REF!</definedName>
    <definedName name="TABLE_2" localSheetId="3">#REF!</definedName>
    <definedName name="TABLE_2" localSheetId="4">#REF!</definedName>
    <definedName name="TABLE_2" localSheetId="8">#REF!</definedName>
    <definedName name="TABLE_2">#REF!</definedName>
    <definedName name="TABLE_3" localSheetId="6">#REF!</definedName>
    <definedName name="TABLE_3" localSheetId="7">#REF!</definedName>
    <definedName name="TABLE_3" localSheetId="9">#REF!</definedName>
    <definedName name="TABLE_3" localSheetId="5">#REF!</definedName>
    <definedName name="TABLE_3" localSheetId="3">#REF!</definedName>
    <definedName name="TABLE_3" localSheetId="4">#REF!</definedName>
    <definedName name="TABLE_3" localSheetId="8">#REF!</definedName>
    <definedName name="TABLE_3">#REF!</definedName>
    <definedName name="TABLE_4" localSheetId="6">#REF!</definedName>
    <definedName name="TABLE_4" localSheetId="7">#REF!</definedName>
    <definedName name="TABLE_4" localSheetId="9">#REF!</definedName>
    <definedName name="TABLE_4" localSheetId="5">#REF!</definedName>
    <definedName name="TABLE_4" localSheetId="3">#REF!</definedName>
    <definedName name="TABLE_4" localSheetId="4">#REF!</definedName>
    <definedName name="TABLE_4" localSheetId="8">#REF!</definedName>
    <definedName name="TABLE_4">#REF!</definedName>
    <definedName name="TABLE_4_A" localSheetId="6">#REF!</definedName>
    <definedName name="TABLE_4_A" localSheetId="7">#REF!</definedName>
    <definedName name="TABLE_4_A" localSheetId="9">#REF!</definedName>
    <definedName name="TABLE_4_A" localSheetId="5">#REF!</definedName>
    <definedName name="TABLE_4_A" localSheetId="3">#REF!</definedName>
    <definedName name="TABLE_4_A" localSheetId="4">#REF!</definedName>
    <definedName name="TABLE_4_A" localSheetId="8">#REF!</definedName>
    <definedName name="TABLE_4_A">#REF!</definedName>
    <definedName name="TABLE_5" localSheetId="6">#REF!</definedName>
    <definedName name="TABLE_5" localSheetId="7">#REF!</definedName>
    <definedName name="TABLE_5" localSheetId="9">#REF!</definedName>
    <definedName name="TABLE_5" localSheetId="5">#REF!</definedName>
    <definedName name="TABLE_5" localSheetId="3">#REF!</definedName>
    <definedName name="TABLE_5" localSheetId="4">#REF!</definedName>
    <definedName name="TABLE_5" localSheetId="8">#REF!</definedName>
    <definedName name="TABLE_5">#REF!</definedName>
    <definedName name="TABLE_6" localSheetId="6">#REF!</definedName>
    <definedName name="TABLE_6" localSheetId="7">#REF!</definedName>
    <definedName name="TABLE_6" localSheetId="9">#REF!</definedName>
    <definedName name="TABLE_6" localSheetId="5">#REF!</definedName>
    <definedName name="TABLE_6" localSheetId="3">#REF!</definedName>
    <definedName name="TABLE_6" localSheetId="4">#REF!</definedName>
    <definedName name="TABLE_6" localSheetId="8">#REF!</definedName>
    <definedName name="TABLE_6">#REF!</definedName>
    <definedName name="TABLE_7" localSheetId="6">#REF!</definedName>
    <definedName name="TABLE_7" localSheetId="7">#REF!</definedName>
    <definedName name="TABLE_7" localSheetId="9">#REF!</definedName>
    <definedName name="TABLE_7" localSheetId="5">#REF!</definedName>
    <definedName name="TABLE_7" localSheetId="3">#REF!</definedName>
    <definedName name="TABLE_7" localSheetId="4">#REF!</definedName>
    <definedName name="TABLE_7" localSheetId="8">#REF!</definedName>
    <definedName name="TABLE_7">#REF!</definedName>
    <definedName name="TABLE1" localSheetId="6">#REF!</definedName>
    <definedName name="TABLE1" localSheetId="7">#REF!</definedName>
    <definedName name="TABLE1" localSheetId="9">#REF!</definedName>
    <definedName name="TABLE1" localSheetId="5">#REF!</definedName>
    <definedName name="TABLE1" localSheetId="3">#REF!</definedName>
    <definedName name="TABLE1" localSheetId="4">#REF!</definedName>
    <definedName name="TABLE1" localSheetId="8">#REF!</definedName>
    <definedName name="TABLE1">#REF!</definedName>
    <definedName name="TABLE2" localSheetId="6">#REF!</definedName>
    <definedName name="TABLE2" localSheetId="7">#REF!</definedName>
    <definedName name="TABLE2" localSheetId="9">#REF!</definedName>
    <definedName name="TABLE2" localSheetId="5">#REF!</definedName>
    <definedName name="TABLE2" localSheetId="3">#REF!</definedName>
    <definedName name="TABLE2" localSheetId="4">#REF!</definedName>
    <definedName name="TABLE2" localSheetId="8">#REF!</definedName>
    <definedName name="TABLE2">#REF!</definedName>
    <definedName name="TABLEA" localSheetId="6">#REF!</definedName>
    <definedName name="TABLEA" localSheetId="7">#REF!</definedName>
    <definedName name="TABLEA" localSheetId="9">#REF!</definedName>
    <definedName name="TABLEA" localSheetId="2">'Exh. JAP-39 (Prof-Prop)'!$B$3:$T$49</definedName>
    <definedName name="TABLEA" localSheetId="5">#REF!</definedName>
    <definedName name="TABLEA" localSheetId="3">#REF!</definedName>
    <definedName name="TABLEA" localSheetId="4">#REF!</definedName>
    <definedName name="TABLEA" localSheetId="8">#REF!</definedName>
    <definedName name="TABLEA">#REF!</definedName>
    <definedName name="TABLEONE" localSheetId="6">#REF!</definedName>
    <definedName name="TABLEONE" localSheetId="7">#REF!</definedName>
    <definedName name="TABLEONE" localSheetId="9">#REF!</definedName>
    <definedName name="TABLEONE" localSheetId="5">#REF!</definedName>
    <definedName name="TABLEONE" localSheetId="3">#REF!</definedName>
    <definedName name="TABLEONE" localSheetId="4">#REF!</definedName>
    <definedName name="TABLEONE" localSheetId="8">#REF!</definedName>
    <definedName name="TABLEONE">#REF!</definedName>
    <definedName name="TargetROR">[8]Inputs!$G$29</definedName>
    <definedName name="TDMOD" localSheetId="6">#REF!</definedName>
    <definedName name="TDMOD" localSheetId="7">#REF!</definedName>
    <definedName name="TDMOD" localSheetId="9">#REF!</definedName>
    <definedName name="TDMOD" localSheetId="5">#REF!</definedName>
    <definedName name="TDMOD" localSheetId="3">#REF!</definedName>
    <definedName name="TDMOD" localSheetId="4">#REF!</definedName>
    <definedName name="TDMOD" localSheetId="8">#REF!</definedName>
    <definedName name="TDMOD">#REF!</definedName>
    <definedName name="TDROLL" localSheetId="6">#REF!</definedName>
    <definedName name="TDROLL" localSheetId="7">#REF!</definedName>
    <definedName name="TDROLL" localSheetId="9">#REF!</definedName>
    <definedName name="TDROLL" localSheetId="5">#REF!</definedName>
    <definedName name="TDROLL" localSheetId="3">#REF!</definedName>
    <definedName name="TDROLL" localSheetId="4">#REF!</definedName>
    <definedName name="TDROLL" localSheetId="8">#REF!</definedName>
    <definedName name="TDROLL">#REF!</definedName>
    <definedName name="TEMPADJ" localSheetId="6">#REF!</definedName>
    <definedName name="TEMPADJ" localSheetId="7">#REF!</definedName>
    <definedName name="TEMPADJ" localSheetId="9">#REF!</definedName>
    <definedName name="TEMPADJ" localSheetId="5">#REF!</definedName>
    <definedName name="TEMPADJ" localSheetId="3">#REF!</definedName>
    <definedName name="TEMPADJ" localSheetId="4">#REF!</definedName>
    <definedName name="TEMPADJ" localSheetId="8">#REF!</definedName>
    <definedName name="TEMPADJ">#REF!</definedName>
    <definedName name="Test" localSheetId="6">#REF!</definedName>
    <definedName name="Test" localSheetId="7">#REF!</definedName>
    <definedName name="Test" localSheetId="9">#REF!</definedName>
    <definedName name="Test" localSheetId="5">#REF!</definedName>
    <definedName name="Test" localSheetId="3">#REF!</definedName>
    <definedName name="Test" localSheetId="4">#REF!</definedName>
    <definedName name="Test" localSheetId="8">#REF!</definedName>
    <definedName name="Test">#REF!</definedName>
    <definedName name="Test1" localSheetId="6">#REF!</definedName>
    <definedName name="Test1" localSheetId="7">#REF!</definedName>
    <definedName name="Test1" localSheetId="9">#REF!</definedName>
    <definedName name="Test1" localSheetId="5">#REF!</definedName>
    <definedName name="Test1" localSheetId="3">#REF!</definedName>
    <definedName name="Test1" localSheetId="4">#REF!</definedName>
    <definedName name="Test1" localSheetId="8">#REF!</definedName>
    <definedName name="Test1">#REF!</definedName>
    <definedName name="Test2" localSheetId="6">#REF!</definedName>
    <definedName name="Test2" localSheetId="7">#REF!</definedName>
    <definedName name="Test2" localSheetId="9">#REF!</definedName>
    <definedName name="Test2" localSheetId="5">#REF!</definedName>
    <definedName name="Test2" localSheetId="3">#REF!</definedName>
    <definedName name="Test2" localSheetId="4">#REF!</definedName>
    <definedName name="Test2" localSheetId="8">#REF!</definedName>
    <definedName name="Test2">#REF!</definedName>
    <definedName name="Test3" localSheetId="6">#REF!</definedName>
    <definedName name="Test3" localSheetId="7">#REF!</definedName>
    <definedName name="Test3" localSheetId="9">#REF!</definedName>
    <definedName name="Test3" localSheetId="5">#REF!</definedName>
    <definedName name="Test3" localSheetId="3">#REF!</definedName>
    <definedName name="Test3" localSheetId="4">#REF!</definedName>
    <definedName name="Test3" localSheetId="8">#REF!</definedName>
    <definedName name="Test3">#REF!</definedName>
    <definedName name="Test4" localSheetId="6">#REF!</definedName>
    <definedName name="Test4" localSheetId="7">#REF!</definedName>
    <definedName name="Test4" localSheetId="9">#REF!</definedName>
    <definedName name="Test4" localSheetId="5">#REF!</definedName>
    <definedName name="Test4" localSheetId="3">#REF!</definedName>
    <definedName name="Test4" localSheetId="4">#REF!</definedName>
    <definedName name="Test4" localSheetId="8">#REF!</definedName>
    <definedName name="Test4">#REF!</definedName>
    <definedName name="Test5" localSheetId="6">#REF!</definedName>
    <definedName name="Test5" localSheetId="7">#REF!</definedName>
    <definedName name="Test5" localSheetId="9">#REF!</definedName>
    <definedName name="Test5" localSheetId="5">#REF!</definedName>
    <definedName name="Test5" localSheetId="3">#REF!</definedName>
    <definedName name="Test5" localSheetId="4">#REF!</definedName>
    <definedName name="Test5" localSheetId="8">#REF!</definedName>
    <definedName name="Test5">#REF!</definedName>
    <definedName name="TestPeriod">[9]Inputs!$C$5</definedName>
    <definedName name="TotalRateBase">'[9]G+T+D+R+M'!$H$58</definedName>
    <definedName name="TRANSM_2">[26]Transm2!$A$1:$M$461:'[26]10 Yr FC'!$M$47</definedName>
    <definedName name="UAACT115S" localSheetId="6">'[11]Functional Study'!#REF!</definedName>
    <definedName name="UAACT115S" localSheetId="7">'[11]Functional Study'!#REF!</definedName>
    <definedName name="UAACT115S" localSheetId="9">'[11]Functional Study'!#REF!</definedName>
    <definedName name="UAACT115S" localSheetId="5">'[11]Functional Study'!#REF!</definedName>
    <definedName name="UAACT115S" localSheetId="3">'[11]Functional Study'!#REF!</definedName>
    <definedName name="UAACT115S" localSheetId="4">'[11]Functional Study'!#REF!</definedName>
    <definedName name="UAACT115S" localSheetId="8">'[11]Functional Study'!#REF!</definedName>
    <definedName name="UAACT115S">'[11]Functional Study'!#REF!</definedName>
    <definedName name="UAcct103">'[9]Func Study'!$AB$1613</definedName>
    <definedName name="UAcct105Dnpg">'[9]Func Study'!$AB$2010</definedName>
    <definedName name="UAcct105S">'[9]Func Study'!$AB$2005</definedName>
    <definedName name="UAcct105Seu">'[9]Func Study'!$AB$2009</definedName>
    <definedName name="UAcct105Snppo">'[9]Func Study'!$AB$2008</definedName>
    <definedName name="UAcct105Snpps">'[9]Func Study'!$AB$2006</definedName>
    <definedName name="UAcct105Snpt">'[9]Func Study'!$AB$2007</definedName>
    <definedName name="UAcct1081390">'[9]Func Study'!$AB$2451</definedName>
    <definedName name="UAcct1081390Rcl">'[9]Func Study'!$AB$2450</definedName>
    <definedName name="UAcct1081399">'[9]Func Study'!$AB$2459</definedName>
    <definedName name="UAcct1081399Rcl">'[9]Func Study'!$AB$2458</definedName>
    <definedName name="UAcct108360">'[9]Func Study'!$AB$2355</definedName>
    <definedName name="UAcct108361">'[9]Func Study'!$AB$2359</definedName>
    <definedName name="UAcct108362">'[9]Func Study'!$AB$2363</definedName>
    <definedName name="UAcct108364">'[9]Func Study'!$AB$2367</definedName>
    <definedName name="UAcct108365">'[9]Func Study'!$AB$2371</definedName>
    <definedName name="UAcct108366">'[9]Func Study'!$AB$2375</definedName>
    <definedName name="UAcct108367">'[9]Func Study'!$AB$2379</definedName>
    <definedName name="UAcct108368">'[9]Func Study'!$AB$2383</definedName>
    <definedName name="UAcct108369">'[9]Func Study'!$AB$2387</definedName>
    <definedName name="UAcct108370">'[9]Func Study'!$AB$2391</definedName>
    <definedName name="UAcct108371">'[9]Func Study'!$AB$2395</definedName>
    <definedName name="UAcct108372">'[9]Func Study'!$AB$2399</definedName>
    <definedName name="UAcct108373">'[9]Func Study'!$AB$2403</definedName>
    <definedName name="UAcct108D">'[9]Func Study'!$AB$2415</definedName>
    <definedName name="UAcct108D00">'[9]Func Study'!$AB$2407</definedName>
    <definedName name="UAcct108Ds">'[9]Func Study'!$AB$2411</definedName>
    <definedName name="UAcct108Ep">'[9]Func Study'!$AB$2327</definedName>
    <definedName name="UAcct108Gpcn">'[9]Func Study'!$AB$2429</definedName>
    <definedName name="UAcct108Gps">'[9]Func Study'!$AB$2425</definedName>
    <definedName name="UAcct108Gpse">'[9]Func Study'!$AB$2431</definedName>
    <definedName name="UAcct108Gpsg">'[9]Func Study'!$AB$2428</definedName>
    <definedName name="UAcct108Gpsgp">'[9]Func Study'!$AB$2426</definedName>
    <definedName name="UAcct108Gpsgu">'[9]Func Study'!$AB$2427</definedName>
    <definedName name="UAcct108Gpso">'[9]Func Study'!$AB$2430</definedName>
    <definedName name="UACCT108GPSSGCH">'[9]Func Study'!$AB$2434</definedName>
    <definedName name="UACCT108GPSSGCT">'[9]Func Study'!$AB$2433</definedName>
    <definedName name="UAcct108Hp">'[9]Func Study'!$AB$2313</definedName>
    <definedName name="UAcct108Mp">'[9]Func Study'!$AB$2444</definedName>
    <definedName name="UAcct108Np">'[9]Func Study'!$AB$2305</definedName>
    <definedName name="UAcct108Op">'[9]Func Study'!$AB$2322</definedName>
    <definedName name="UACCT108OPSSCCT">'[9]Func Study'!$AB$2321</definedName>
    <definedName name="UAcct108Sp">'[9]Func Study'!$AB$2299</definedName>
    <definedName name="UACCT108SPSSGCH">'[9]Func Study'!$AB$2298</definedName>
    <definedName name="UAcct108Tp">'[9]Func Study'!$AB$2346</definedName>
    <definedName name="UAcct111Clg">'[9]Func Study'!$AB$2487</definedName>
    <definedName name="UAcct111Clgsou">'[9]Func Study'!$AB$2485</definedName>
    <definedName name="UAcct111Clh">'[9]Func Study'!$AB$2493</definedName>
    <definedName name="UAcct111Cls">'[9]Func Study'!$AB$2478</definedName>
    <definedName name="UAcct111Ipcn">'[9]Func Study'!$AB$2502</definedName>
    <definedName name="UAcct111Ips">'[9]Func Study'!$AB$2497</definedName>
    <definedName name="UAcct111Ipse">'[9]Func Study'!$AB$2500</definedName>
    <definedName name="UAcct111Ipsg">'[9]Func Study'!$AB$2501</definedName>
    <definedName name="UAcct111Ipsgp">'[9]Func Study'!$AB$2498</definedName>
    <definedName name="UAcct111Ipsgu">'[9]Func Study'!$AB$2499</definedName>
    <definedName name="UAcct111Ipso">'[9]Func Study'!$AB$2506</definedName>
    <definedName name="UACCT111IPSSGCH">'[9]Func Study'!$AB$2505</definedName>
    <definedName name="UACCT111IPSSGCT">'[9]Func Study'!$AB$2504</definedName>
    <definedName name="UAcct114">'[9]Func Study'!$AB$2017</definedName>
    <definedName name="UACCT115" localSheetId="6">'[11]Functional Study'!#REF!</definedName>
    <definedName name="UACCT115" localSheetId="7">'[11]Functional Study'!#REF!</definedName>
    <definedName name="UACCT115" localSheetId="9">'[11]Functional Study'!#REF!</definedName>
    <definedName name="UACCT115" localSheetId="5">'[11]Functional Study'!#REF!</definedName>
    <definedName name="UACCT115" localSheetId="3">'[11]Functional Study'!#REF!</definedName>
    <definedName name="UACCT115" localSheetId="4">'[11]Functional Study'!#REF!</definedName>
    <definedName name="UACCT115" localSheetId="8">'[11]Functional Study'!#REF!</definedName>
    <definedName name="UACCT115">'[11]Functional Study'!#REF!</definedName>
    <definedName name="UACCT115DGP" localSheetId="6">'[11]Functional Study'!#REF!</definedName>
    <definedName name="UACCT115DGP" localSheetId="7">'[11]Functional Study'!#REF!</definedName>
    <definedName name="UACCT115DGP" localSheetId="9">'[11]Functional Study'!#REF!</definedName>
    <definedName name="UACCT115DGP" localSheetId="5">'[11]Functional Study'!#REF!</definedName>
    <definedName name="UACCT115DGP" localSheetId="3">'[11]Functional Study'!#REF!</definedName>
    <definedName name="UACCT115DGP" localSheetId="4">'[11]Functional Study'!#REF!</definedName>
    <definedName name="UACCT115DGP" localSheetId="8">'[11]Functional Study'!#REF!</definedName>
    <definedName name="UACCT115DGP">'[11]Functional Study'!#REF!</definedName>
    <definedName name="UACCT115SG" localSheetId="6">'[11]Functional Study'!#REF!</definedName>
    <definedName name="UACCT115SG" localSheetId="7">'[11]Functional Study'!#REF!</definedName>
    <definedName name="UACCT115SG" localSheetId="9">'[11]Functional Study'!#REF!</definedName>
    <definedName name="UACCT115SG" localSheetId="5">'[11]Functional Study'!#REF!</definedName>
    <definedName name="UACCT115SG" localSheetId="3">'[11]Functional Study'!#REF!</definedName>
    <definedName name="UACCT115SG" localSheetId="4">'[11]Functional Study'!#REF!</definedName>
    <definedName name="UACCT115SG" localSheetId="8">'[11]Functional Study'!#REF!</definedName>
    <definedName name="UACCT115SG">'[11]Functional Study'!#REF!</definedName>
    <definedName name="UAcct120">'[9]Func Study'!$AB$2021</definedName>
    <definedName name="UAcct124">'[9]Func Study'!$AB$2026</definedName>
    <definedName name="UAcct141">'[9]Func Study'!$AB$2173</definedName>
    <definedName name="UAcct151">'[9]Func Study'!$AB$2049</definedName>
    <definedName name="Uacct151SSECT">'[9]Func Study'!$AB$2047</definedName>
    <definedName name="UAcct154">'[9]Func Study'!$AB$2083</definedName>
    <definedName name="Uacct154SSGCT">'[9]Func Study'!$AB$2080</definedName>
    <definedName name="UAcct163">'[9]Func Study'!$AB$2093</definedName>
    <definedName name="UAcct165">'[9]Func Study'!$AB$2108</definedName>
    <definedName name="UAcct165Gps">'[9]Func Study'!$AB$2104</definedName>
    <definedName name="UAcct182">'[9]Func Study'!$AB$2033</definedName>
    <definedName name="UAcct18222">'[9]Func Study'!$AB$2163</definedName>
    <definedName name="UAcct182M">'[9]Func Study'!$AB$2118</definedName>
    <definedName name="UAcct182MSSGCH">'[9]Func Study'!$AB$2113</definedName>
    <definedName name="UAcct186">'[9]Func Study'!$AB$2041</definedName>
    <definedName name="UAcct1869">'[9]Func Study'!$AB$2168</definedName>
    <definedName name="UAcct186M">'[9]Func Study'!$AB$2129</definedName>
    <definedName name="UAcct190">'[9]Func Study'!$AB$2243</definedName>
    <definedName name="UAcct190Baddebt">'[9]Func Study'!$AB$2237</definedName>
    <definedName name="UAcct190Dop">'[9]Func Study'!$AB$2235</definedName>
    <definedName name="UAcct2281">'[9]Func Study'!$AB$2191</definedName>
    <definedName name="UAcct2282">'[9]Func Study'!$AB$2195</definedName>
    <definedName name="UAcct2283">'[9]Func Study'!$AB$2200</definedName>
    <definedName name="UACCT22841SG">'[9]Func Study'!$AB$2205</definedName>
    <definedName name="UAcct22842">'[9]Func Study'!$AB$2211</definedName>
    <definedName name="UAcct22842Trojd" localSheetId="6">'[8]Func Study'!#REF!</definedName>
    <definedName name="UAcct22842Trojd" localSheetId="7">'[8]Func Study'!#REF!</definedName>
    <definedName name="UAcct22842Trojd" localSheetId="9">'[8]Func Study'!#REF!</definedName>
    <definedName name="UAcct22842Trojd" localSheetId="5">'[8]Func Study'!#REF!</definedName>
    <definedName name="UAcct22842Trojd" localSheetId="3">'[8]Func Study'!#REF!</definedName>
    <definedName name="UAcct22842Trojd" localSheetId="4">'[8]Func Study'!#REF!</definedName>
    <definedName name="UAcct22842Trojd" localSheetId="8">'[8]Func Study'!#REF!</definedName>
    <definedName name="UAcct22842Trojd">'[8]Func Study'!#REF!</definedName>
    <definedName name="UAcct235">'[9]Func Study'!$AB$2187</definedName>
    <definedName name="UACCT235CN">'[9]Func Study'!$AB$2186</definedName>
    <definedName name="UAcct252">'[9]Func Study'!$AB$2219</definedName>
    <definedName name="UAcct25316">'[9]Func Study'!$AB$2057</definedName>
    <definedName name="UAcct25317">'[9]Func Study'!$AB$2061</definedName>
    <definedName name="UAcct25318">'[9]Func Study'!$AB$2098</definedName>
    <definedName name="UAcct25319">'[9]Func Study'!$AB$2065</definedName>
    <definedName name="uacct25398">'[9]Func Study'!$AB$2222</definedName>
    <definedName name="UAcct25399">'[9]Func Study'!$AB$2230</definedName>
    <definedName name="UACCT254SO">'[9]Func Study'!$AB$2202</definedName>
    <definedName name="UAcct255">'[9]Func Study'!$AB$2284</definedName>
    <definedName name="UAcct281">'[9]Func Study'!$AB$2249</definedName>
    <definedName name="UAcct282">'[9]Func Study'!$AB$2259</definedName>
    <definedName name="UAcct282Cn">'[9]Func Study'!$AB$2256</definedName>
    <definedName name="UAcct282So">'[9]Func Study'!$AB$2255</definedName>
    <definedName name="UAcct283">'[9]Func Study'!$AB$2271</definedName>
    <definedName name="UAcct283So">'[9]Func Study'!$AB$2265</definedName>
    <definedName name="UAcct301S">'[9]Func Study'!$AB$1964</definedName>
    <definedName name="UAcct301Sg">'[9]Func Study'!$AB$1966</definedName>
    <definedName name="UAcct301So">'[9]Func Study'!$AB$1965</definedName>
    <definedName name="UAcct302S">'[9]Func Study'!$AB$1969</definedName>
    <definedName name="UAcct302Sg">'[9]Func Study'!$AB$1970</definedName>
    <definedName name="UAcct302Sgp">'[9]Func Study'!$AB$1971</definedName>
    <definedName name="UAcct302Sgu">'[9]Func Study'!$AB$1972</definedName>
    <definedName name="UAcct303Cn">'[9]Func Study'!$AB$1980</definedName>
    <definedName name="UAcct303S">'[9]Func Study'!$AB$1976</definedName>
    <definedName name="UAcct303Se">'[9]Func Study'!$AB$1979</definedName>
    <definedName name="UAcct303Sg">'[9]Func Study'!$AB$1977</definedName>
    <definedName name="UAcct303Sgu">'[9]Func Study'!$AB$1981</definedName>
    <definedName name="UAcct303So">'[9]Func Study'!$AB$1978</definedName>
    <definedName name="UACCT303SSGCH">'[9]Func Study'!$AB$1983</definedName>
    <definedName name="UAcct310">'[9]Func Study'!$AB$1414</definedName>
    <definedName name="UAcct310JBG">'[9]Func Study'!$AB$1413</definedName>
    <definedName name="UAcct311">'[9]Func Study'!$AB$1421</definedName>
    <definedName name="UAcct311JBG">'[9]Func Study'!$AB$1420</definedName>
    <definedName name="UAcct312">'[9]Func Study'!$AB$1428</definedName>
    <definedName name="UAcct312JBG">'[9]Func Study'!$AB$1427</definedName>
    <definedName name="UAcct314">'[9]Func Study'!$AB$1435</definedName>
    <definedName name="UAcct314JBG">'[9]Func Study'!$AB$1434</definedName>
    <definedName name="UAcct315">'[9]Func Study'!$AB$1442</definedName>
    <definedName name="UAcct315JBG">'[9]Func Study'!$AB$1441</definedName>
    <definedName name="UAcct316">'[9]Func Study'!$AB$1450</definedName>
    <definedName name="UAcct316JBG">'[9]Func Study'!$AB$1449</definedName>
    <definedName name="UAcct320">'[9]Func Study'!$AB$1466</definedName>
    <definedName name="UAcct321">'[9]Func Study'!$AB$1471</definedName>
    <definedName name="UAcct322">'[9]Func Study'!$AB$1476</definedName>
    <definedName name="UAcct323">'[9]Func Study'!$AB$1481</definedName>
    <definedName name="UAcct324">'[9]Func Study'!$AB$1486</definedName>
    <definedName name="UAcct325">'[9]Func Study'!$AB$1491</definedName>
    <definedName name="UAcct33">'[9]Func Study'!$AB$295</definedName>
    <definedName name="UAcct330">'[9]Func Study'!$AB$1508</definedName>
    <definedName name="UAcct331">'[9]Func Study'!$AB$1513</definedName>
    <definedName name="UAcct332">'[9]Func Study'!$AB$1518</definedName>
    <definedName name="UAcct333">'[9]Func Study'!$AB$1523</definedName>
    <definedName name="UAcct334">'[9]Func Study'!$AB$1528</definedName>
    <definedName name="UAcct335">'[9]Func Study'!$AB$1533</definedName>
    <definedName name="UAcct336">'[9]Func Study'!$AB$1539</definedName>
    <definedName name="UAcct340Dgu">'[9]Func Study'!$AB$1564</definedName>
    <definedName name="UAcct340Sgu">'[9]Func Study'!$AB$1565</definedName>
    <definedName name="UAcct341Dgu">'[9]Func Study'!$AB$1569</definedName>
    <definedName name="UAcct341Sgu">'[9]Func Study'!$AB$1570</definedName>
    <definedName name="UAcct342Dgu">'[9]Func Study'!$AB$1574</definedName>
    <definedName name="UAcct342Sgu">'[9]Func Study'!$AB$1575</definedName>
    <definedName name="UAcct343">'[9]Func Study'!$AB$1584</definedName>
    <definedName name="UAcct344S">'[9]Func Study'!$AB$1587</definedName>
    <definedName name="UAcct344Sgp">'[9]Func Study'!$AB$1588</definedName>
    <definedName name="UAcct345Dgu">'[9]Func Study'!$AB$1594</definedName>
    <definedName name="UAcct345Sgu">'[9]Func Study'!$AB$1595</definedName>
    <definedName name="UAcct346">'[9]Func Study'!$AB$1601</definedName>
    <definedName name="UAcct350">'[9]Func Study'!$AB$1628</definedName>
    <definedName name="UAcct352">'[9]Func Study'!$AB$1635</definedName>
    <definedName name="UAcct353">'[9]Func Study'!$AB$1641</definedName>
    <definedName name="UAcct354">'[9]Func Study'!$AB$1647</definedName>
    <definedName name="UAcct355">'[9]Func Study'!$AB$1654</definedName>
    <definedName name="UAcct356">'[9]Func Study'!$AB$1660</definedName>
    <definedName name="UAcct357">'[9]Func Study'!$AB$1666</definedName>
    <definedName name="UAcct358">'[9]Func Study'!$AB$1672</definedName>
    <definedName name="UAcct359">'[9]Func Study'!$AB$1678</definedName>
    <definedName name="UAcct360">'[9]Func Study'!$AB$1698</definedName>
    <definedName name="UAcct361">'[9]Func Study'!$AB$1704</definedName>
    <definedName name="UAcct362">'[9]Func Study'!$AB$1710</definedName>
    <definedName name="UAcct368">'[9]Func Study'!$AB$1744</definedName>
    <definedName name="UAcct369">'[9]Func Study'!$AB$1751</definedName>
    <definedName name="UAcct370">'[9]Func Study'!$AB$1762</definedName>
    <definedName name="UAcct372A">'[9]Func Study'!$AB$1775</definedName>
    <definedName name="UAcct372Dp">'[9]Func Study'!$AB$1773</definedName>
    <definedName name="UAcct372Ds">'[9]Func Study'!$AB$1774</definedName>
    <definedName name="UAcct373">'[9]Func Study'!$AB$1782</definedName>
    <definedName name="UAcct389Cn">'[9]Func Study'!$AB$1800</definedName>
    <definedName name="UAcct389S">'[9]Func Study'!$AB$1799</definedName>
    <definedName name="UAcct389Sg">'[9]Func Study'!$AB$1802</definedName>
    <definedName name="UAcct389Sgu">'[9]Func Study'!$AB$1801</definedName>
    <definedName name="UAcct389So">'[9]Func Study'!$AB$1803</definedName>
    <definedName name="UAcct390Cn">'[9]Func Study'!$AB$1810</definedName>
    <definedName name="UAcct390JBG">'[9]Func Study'!$AB$1812</definedName>
    <definedName name="UAcct390L">'[9]Func Study'!$AB$1927</definedName>
    <definedName name="UACCT390LRCL">'[9]Func Study'!$AB$1929</definedName>
    <definedName name="UAcct390S">'[9]Func Study'!$AB$1807</definedName>
    <definedName name="UAcct390Sgp">'[9]Func Study'!$AB$1808</definedName>
    <definedName name="UAcct390Sgu">'[9]Func Study'!$AB$1809</definedName>
    <definedName name="UAcct390Sop">'[9]Func Study'!$AB$1811</definedName>
    <definedName name="UAcct390Sou">'[9]Func Study'!$AB$1813</definedName>
    <definedName name="UAcct391Cn">'[9]Func Study'!$AB$1820</definedName>
    <definedName name="UACCT391JBE">'[9]Func Study'!$AB$1825</definedName>
    <definedName name="UAcct391S">'[9]Func Study'!$AB$1817</definedName>
    <definedName name="UAcct391Sg">'[9]Func Study'!$AB$1821</definedName>
    <definedName name="UAcct391Sgp">'[9]Func Study'!$AB$1818</definedName>
    <definedName name="UAcct391Sgu">'[9]Func Study'!$AB$1819</definedName>
    <definedName name="UAcct391So">'[9]Func Study'!$AB$1823</definedName>
    <definedName name="UACCT391SSGCH">'[9]Func Study'!$AB$1824</definedName>
    <definedName name="UAcct392Cn">'[9]Func Study'!$AB$1832</definedName>
    <definedName name="UAcct392L">'[9]Func Study'!$AB$1935</definedName>
    <definedName name="UAcct392Lrcl">'[9]Func Study'!$AB$1937</definedName>
    <definedName name="UAcct392S">'[9]Func Study'!$AB$1829</definedName>
    <definedName name="UAcct392Se">'[9]Func Study'!$AB$1834</definedName>
    <definedName name="UAcct392Sg">'[9]Func Study'!$AB$1831</definedName>
    <definedName name="UAcct392Sgp">'[9]Func Study'!$AB$1835</definedName>
    <definedName name="UAcct392Sgu">'[9]Func Study'!$AB$1833</definedName>
    <definedName name="UAcct392So">'[9]Func Study'!$AB$1830</definedName>
    <definedName name="UACCT392SSGCH">'[9]Func Study'!$AB$1836</definedName>
    <definedName name="UAcct393S">'[9]Func Study'!$AB$1841</definedName>
    <definedName name="UAcct393Sg">'[9]Func Study'!$AB$1845</definedName>
    <definedName name="UAcct393Sgp">'[9]Func Study'!$AB$1842</definedName>
    <definedName name="UAcct393Sgu">'[9]Func Study'!$AB$1843</definedName>
    <definedName name="UAcct393So">'[9]Func Study'!$AB$1844</definedName>
    <definedName name="UACCT393SSGCT">'[9]Func Study'!$AB$1846</definedName>
    <definedName name="UAcct394S">'[9]Func Study'!$AB$1850</definedName>
    <definedName name="UAcct394Se">'[9]Func Study'!$AB$1854</definedName>
    <definedName name="UAcct394Sg">'[9]Func Study'!$AB$1855</definedName>
    <definedName name="UAcct394Sgp">'[9]Func Study'!$AB$1851</definedName>
    <definedName name="UAcct394Sgu">'[9]Func Study'!$AB$1852</definedName>
    <definedName name="UAcct394So">'[9]Func Study'!$AB$1853</definedName>
    <definedName name="UACCT394SSGCH">'[9]Func Study'!$AB$1856</definedName>
    <definedName name="UAcct395S">'[9]Func Study'!$AB$1861</definedName>
    <definedName name="UAcct395Se">'[9]Func Study'!$AB$1865</definedName>
    <definedName name="UAcct395Sg">'[9]Func Study'!$AB$1866</definedName>
    <definedName name="UAcct395Sgp">'[9]Func Study'!$AB$1862</definedName>
    <definedName name="UAcct395Sgu">'[9]Func Study'!$AB$1863</definedName>
    <definedName name="UAcct395So">'[9]Func Study'!$AB$1864</definedName>
    <definedName name="UACCT395SSGCH">'[9]Func Study'!$AB$1867</definedName>
    <definedName name="UAcct396S">'[9]Func Study'!$AB$1872</definedName>
    <definedName name="UAcct396Se">'[9]Func Study'!$AB$1877</definedName>
    <definedName name="UAcct396Sg">'[9]Func Study'!$AB$1874</definedName>
    <definedName name="UAcct396Sgp">'[9]Func Study'!$AB$1873</definedName>
    <definedName name="UAcct396Sgu">'[9]Func Study'!$AB$1876</definedName>
    <definedName name="UAcct396So">'[9]Func Study'!$AB$1875</definedName>
    <definedName name="UACCT396SSGCH">'[9]Func Study'!$AB$1879</definedName>
    <definedName name="UACCT396SSGCT">'[9]Func Study'!$AB$1878</definedName>
    <definedName name="UAcct397Cn">'[9]Func Study'!$AB$1890</definedName>
    <definedName name="UAcct397JBG">'[9]Func Study'!$AB$1893</definedName>
    <definedName name="UAcct397S">'[9]Func Study'!$AB$1886</definedName>
    <definedName name="UAcct397Se">'[9]Func Study'!$AB$1892</definedName>
    <definedName name="UAcct397Sg">'[9]Func Study'!$AB$1891</definedName>
    <definedName name="UAcct397Sgp">'[9]Func Study'!$AB$1887</definedName>
    <definedName name="UAcct397Sgu">'[9]Func Study'!$AB$1888</definedName>
    <definedName name="UAcct397So">'[9]Func Study'!$AB$1889</definedName>
    <definedName name="UAcct398Cn">'[9]Func Study'!$AB$1902</definedName>
    <definedName name="UAcct398S">'[9]Func Study'!$AB$1899</definedName>
    <definedName name="UAcct398Se">'[9]Func Study'!$AB$1904</definedName>
    <definedName name="UAcct398Sg">'[9]Func Study'!$AB$1905</definedName>
    <definedName name="UAcct398Sgp">'[9]Func Study'!$AB$1900</definedName>
    <definedName name="UAcct398Sgu">'[9]Func Study'!$AB$1901</definedName>
    <definedName name="UAcct398So">'[9]Func Study'!$AB$1903</definedName>
    <definedName name="UACCT398SSGCT">'[9]Func Study'!$AB$1906</definedName>
    <definedName name="UAcct399">'[9]Func Study'!$AB$1913</definedName>
    <definedName name="UAcct399G">'[9]Func Study'!$AB$1955</definedName>
    <definedName name="UAcct399L">'[9]Func Study'!$AB$1917</definedName>
    <definedName name="UAcct399Lrcl">'[9]Func Study'!$AB$1919</definedName>
    <definedName name="UAcct403360">'[9]Func Study'!$AB$1090</definedName>
    <definedName name="UAcct403361">'[9]Func Study'!$AB$1091</definedName>
    <definedName name="UAcct403362">'[9]Func Study'!$AB$1092</definedName>
    <definedName name="UAcct403364">'[9]Func Study'!$AB$1094</definedName>
    <definedName name="UAcct403365">'[9]Func Study'!$AB$1095</definedName>
    <definedName name="UAcct403366">'[9]Func Study'!$AB$1096</definedName>
    <definedName name="UAcct403367">'[9]Func Study'!$AB$1097</definedName>
    <definedName name="UAcct403368">'[9]Func Study'!$AB$1098</definedName>
    <definedName name="UAcct403369">'[9]Func Study'!$AB$1099</definedName>
    <definedName name="UAcct403370">'[9]Func Study'!$AB$1100</definedName>
    <definedName name="UAcct403371">'[9]Func Study'!$AB$1101</definedName>
    <definedName name="UAcct403372">'[9]Func Study'!$AB$1102</definedName>
    <definedName name="UAcct403373">'[9]Func Study'!$AB$1103</definedName>
    <definedName name="UAcct403Ep">'[9]Func Study'!$AB$1130</definedName>
    <definedName name="UAcct403Gpcn">'[9]Func Study'!$AB$1111</definedName>
    <definedName name="UAcct403GPDGP">'[9]Func Study'!$AB$1108</definedName>
    <definedName name="UAcct403GPDGU">'[9]Func Study'!$AB$1109</definedName>
    <definedName name="UAcct403GPJBG">'[9]Func Study'!$AB$1115</definedName>
    <definedName name="UAcct403Gps">'[9]Func Study'!$AB$1107</definedName>
    <definedName name="UAcct403Gpsg">'[9]Func Study'!$AB$1112</definedName>
    <definedName name="UAcct403Gpso">'[9]Func Study'!$AB$1113</definedName>
    <definedName name="UAcct403Gv0">'[9]Func Study'!$AB$1121</definedName>
    <definedName name="UAcct403Hp">'[9]Func Study'!$AB$1072</definedName>
    <definedName name="UACCT403JBE">'[9]Func Study'!$AB$1116</definedName>
    <definedName name="UAcct403Mp">'[9]Func Study'!$AB$1125</definedName>
    <definedName name="UAcct403Np">'[9]Func Study'!$AB$1065</definedName>
    <definedName name="UAcct403Op">'[9]Func Study'!$AB$1080</definedName>
    <definedName name="UAcct403OPCAGE">'[9]Func Study'!$AB$1078</definedName>
    <definedName name="UAcct403Sp">'[9]Func Study'!$AB$1061</definedName>
    <definedName name="UAcct403SPJBG">'[9]Func Study'!$AB$1058</definedName>
    <definedName name="UAcct403Tp">'[9]Func Study'!$AB$1087</definedName>
    <definedName name="UAcct404330">'[9]Func Study'!$AB$1177</definedName>
    <definedName name="UACCT404GP">'[9]Func Study'!$AB$1146</definedName>
    <definedName name="UACCT404GPCN">'[9]Func Study'!$AB$1143</definedName>
    <definedName name="UACCT404GPSO">'[9]Func Study'!$AB$1141</definedName>
    <definedName name="UAcct404Ipcn">'[9]Func Study'!$AB$1158</definedName>
    <definedName name="UAcct404IPJBG">'[9]Func Study'!$AB$1163</definedName>
    <definedName name="UAcct404Ips">'[9]Func Study'!$AB$1154</definedName>
    <definedName name="UAcct404Ipse">'[9]Func Study'!$AB$1155</definedName>
    <definedName name="UAcct404Ipsg">'[9]Func Study'!$AB$1156</definedName>
    <definedName name="UAcct404Ipsg1">'[9]Func Study'!$AB$1159</definedName>
    <definedName name="UAcct404Ipsg2">'[9]Func Study'!$AB$1160</definedName>
    <definedName name="UAcct404Ipso">'[9]Func Study'!$AB$1157</definedName>
    <definedName name="UAcct404M">'[9]Func Study'!$AB$1168</definedName>
    <definedName name="UACCT404OP">'[9]Func Study'!$AB$1172</definedName>
    <definedName name="UACCT404SP">'[9]Func Study'!$AB$1151</definedName>
    <definedName name="UAcct405">'[9]Func Study'!$AB$1185</definedName>
    <definedName name="UAcct406">'[9]Func Study'!$AB$1193</definedName>
    <definedName name="UAcct407">'[9]Func Study'!$AB$1202</definedName>
    <definedName name="UAcct408">'[9]Func Study'!$AB$1221</definedName>
    <definedName name="UAcct408S">'[9]Func Study'!$AB$1213</definedName>
    <definedName name="UAcct41010">'[9]Func Study'!$AB$1294</definedName>
    <definedName name="UAcct41011">'[9]Func Study'!$AB$1309</definedName>
    <definedName name="UACCT41020" localSheetId="6">'[10]Functional Study'!#REF!</definedName>
    <definedName name="UACCT41020" localSheetId="7">'[10]Functional Study'!#REF!</definedName>
    <definedName name="UACCT41020" localSheetId="9">'[10]Functional Study'!#REF!</definedName>
    <definedName name="UACCT41020" localSheetId="5">'[10]Functional Study'!#REF!</definedName>
    <definedName name="UACCT41020" localSheetId="3">'[10]Functional Study'!#REF!</definedName>
    <definedName name="UACCT41020" localSheetId="4">'[10]Functional Study'!#REF!</definedName>
    <definedName name="UACCT41020" localSheetId="8">'[10]Functional Study'!#REF!</definedName>
    <definedName name="UACCT41020">'[10]Functional Study'!#REF!</definedName>
    <definedName name="UACCT41020BADDEBT" localSheetId="6">'[10]Functional Study'!#REF!</definedName>
    <definedName name="UACCT41020BADDEBT" localSheetId="7">'[10]Functional Study'!#REF!</definedName>
    <definedName name="UACCT41020BADDEBT" localSheetId="9">'[10]Functional Study'!#REF!</definedName>
    <definedName name="UACCT41020BADDEBT" localSheetId="5">'[10]Functional Study'!#REF!</definedName>
    <definedName name="UACCT41020BADDEBT" localSheetId="3">'[10]Functional Study'!#REF!</definedName>
    <definedName name="UACCT41020BADDEBT" localSheetId="4">'[10]Functional Study'!#REF!</definedName>
    <definedName name="UACCT41020BADDEBT" localSheetId="8">'[10]Functional Study'!#REF!</definedName>
    <definedName name="UACCT41020BADDEBT">'[10]Functional Study'!#REF!</definedName>
    <definedName name="UACCT41020DITEXP" localSheetId="6">'[10]Functional Study'!#REF!</definedName>
    <definedName name="UACCT41020DITEXP" localSheetId="7">'[10]Functional Study'!#REF!</definedName>
    <definedName name="UACCT41020DITEXP" localSheetId="9">'[10]Functional Study'!#REF!</definedName>
    <definedName name="UACCT41020DITEXP" localSheetId="5">'[10]Functional Study'!#REF!</definedName>
    <definedName name="UACCT41020DITEXP" localSheetId="3">'[10]Functional Study'!#REF!</definedName>
    <definedName name="UACCT41020DITEXP" localSheetId="4">'[10]Functional Study'!#REF!</definedName>
    <definedName name="UACCT41020DITEXP" localSheetId="8">'[10]Functional Study'!#REF!</definedName>
    <definedName name="UACCT41020DITEXP">'[10]Functional Study'!#REF!</definedName>
    <definedName name="UACCT41020DNPU" localSheetId="6">'[10]Functional Study'!#REF!</definedName>
    <definedName name="UACCT41020DNPU" localSheetId="7">'[10]Functional Study'!#REF!</definedName>
    <definedName name="UACCT41020DNPU" localSheetId="9">'[10]Functional Study'!#REF!</definedName>
    <definedName name="UACCT41020DNPU" localSheetId="5">'[10]Functional Study'!#REF!</definedName>
    <definedName name="UACCT41020DNPU" localSheetId="3">'[10]Functional Study'!#REF!</definedName>
    <definedName name="UACCT41020DNPU" localSheetId="4">'[10]Functional Study'!#REF!</definedName>
    <definedName name="UACCT41020DNPU" localSheetId="8">'[10]Functional Study'!#REF!</definedName>
    <definedName name="UACCT41020DNPU">'[10]Functional Study'!#REF!</definedName>
    <definedName name="UACCT41020S" localSheetId="6">'[10]Functional Study'!#REF!</definedName>
    <definedName name="UACCT41020S" localSheetId="7">'[10]Functional Study'!#REF!</definedName>
    <definedName name="UACCT41020S" localSheetId="9">'[10]Functional Study'!#REF!</definedName>
    <definedName name="UACCT41020S" localSheetId="5">'[10]Functional Study'!#REF!</definedName>
    <definedName name="UACCT41020S" localSheetId="3">'[10]Functional Study'!#REF!</definedName>
    <definedName name="UACCT41020S" localSheetId="4">'[10]Functional Study'!#REF!</definedName>
    <definedName name="UACCT41020S" localSheetId="8">'[10]Functional Study'!#REF!</definedName>
    <definedName name="UACCT41020S">'[10]Functional Study'!#REF!</definedName>
    <definedName name="UACCT41020SE" localSheetId="6">'[10]Functional Study'!#REF!</definedName>
    <definedName name="UACCT41020SE" localSheetId="7">'[10]Functional Study'!#REF!</definedName>
    <definedName name="UACCT41020SE" localSheetId="9">'[10]Functional Study'!#REF!</definedName>
    <definedName name="UACCT41020SE" localSheetId="5">'[10]Functional Study'!#REF!</definedName>
    <definedName name="UACCT41020SE" localSheetId="3">'[10]Functional Study'!#REF!</definedName>
    <definedName name="UACCT41020SE" localSheetId="4">'[10]Functional Study'!#REF!</definedName>
    <definedName name="UACCT41020SE" localSheetId="8">'[10]Functional Study'!#REF!</definedName>
    <definedName name="UACCT41020SE">'[10]Functional Study'!#REF!</definedName>
    <definedName name="UACCT41020SG" localSheetId="6">'[10]Functional Study'!#REF!</definedName>
    <definedName name="UACCT41020SG" localSheetId="7">'[10]Functional Study'!#REF!</definedName>
    <definedName name="UACCT41020SG" localSheetId="9">'[10]Functional Study'!#REF!</definedName>
    <definedName name="UACCT41020SG" localSheetId="5">'[10]Functional Study'!#REF!</definedName>
    <definedName name="UACCT41020SG" localSheetId="3">'[10]Functional Study'!#REF!</definedName>
    <definedName name="UACCT41020SG" localSheetId="4">'[10]Functional Study'!#REF!</definedName>
    <definedName name="UACCT41020SG" localSheetId="8">'[10]Functional Study'!#REF!</definedName>
    <definedName name="UACCT41020SG">'[10]Functional Study'!#REF!</definedName>
    <definedName name="UACCT41020SGCT" localSheetId="6">'[10]Functional Study'!#REF!</definedName>
    <definedName name="UACCT41020SGCT" localSheetId="7">'[10]Functional Study'!#REF!</definedName>
    <definedName name="UACCT41020SGCT" localSheetId="9">'[10]Functional Study'!#REF!</definedName>
    <definedName name="UACCT41020SGCT" localSheetId="5">'[10]Functional Study'!#REF!</definedName>
    <definedName name="UACCT41020SGCT" localSheetId="3">'[10]Functional Study'!#REF!</definedName>
    <definedName name="UACCT41020SGCT" localSheetId="4">'[10]Functional Study'!#REF!</definedName>
    <definedName name="UACCT41020SGCT" localSheetId="8">'[10]Functional Study'!#REF!</definedName>
    <definedName name="UACCT41020SGCT">'[10]Functional Study'!#REF!</definedName>
    <definedName name="UACCT41020SGPP" localSheetId="6">'[10]Functional Study'!#REF!</definedName>
    <definedName name="UACCT41020SGPP" localSheetId="7">'[10]Functional Study'!#REF!</definedName>
    <definedName name="UACCT41020SGPP" localSheetId="9">'[10]Functional Study'!#REF!</definedName>
    <definedName name="UACCT41020SGPP" localSheetId="5">'[10]Functional Study'!#REF!</definedName>
    <definedName name="UACCT41020SGPP" localSheetId="3">'[10]Functional Study'!#REF!</definedName>
    <definedName name="UACCT41020SGPP" localSheetId="4">'[10]Functional Study'!#REF!</definedName>
    <definedName name="UACCT41020SGPP" localSheetId="8">'[10]Functional Study'!#REF!</definedName>
    <definedName name="UACCT41020SGPP">'[10]Functional Study'!#REF!</definedName>
    <definedName name="UACCT41020SO" localSheetId="6">'[10]Functional Study'!#REF!</definedName>
    <definedName name="UACCT41020SO" localSheetId="7">'[10]Functional Study'!#REF!</definedName>
    <definedName name="UACCT41020SO" localSheetId="9">'[10]Functional Study'!#REF!</definedName>
    <definedName name="UACCT41020SO" localSheetId="5">'[10]Functional Study'!#REF!</definedName>
    <definedName name="UACCT41020SO" localSheetId="3">'[10]Functional Study'!#REF!</definedName>
    <definedName name="UACCT41020SO" localSheetId="4">'[10]Functional Study'!#REF!</definedName>
    <definedName name="UACCT41020SO" localSheetId="8">'[10]Functional Study'!#REF!</definedName>
    <definedName name="UACCT41020SO">'[10]Functional Study'!#REF!</definedName>
    <definedName name="UACCT41020TROJP" localSheetId="6">'[10]Functional Study'!#REF!</definedName>
    <definedName name="UACCT41020TROJP" localSheetId="7">'[10]Functional Study'!#REF!</definedName>
    <definedName name="UACCT41020TROJP" localSheetId="9">'[10]Functional Study'!#REF!</definedName>
    <definedName name="UACCT41020TROJP" localSheetId="5">'[10]Functional Study'!#REF!</definedName>
    <definedName name="UACCT41020TROJP" localSheetId="3">'[10]Functional Study'!#REF!</definedName>
    <definedName name="UACCT41020TROJP" localSheetId="4">'[10]Functional Study'!#REF!</definedName>
    <definedName name="UACCT41020TROJP" localSheetId="8">'[10]Functional Study'!#REF!</definedName>
    <definedName name="UACCT41020TROJP">'[10]Functional Study'!#REF!</definedName>
    <definedName name="UACCT4102SNPD" localSheetId="6">'[10]Functional Study'!#REF!</definedName>
    <definedName name="UACCT4102SNPD" localSheetId="7">'[10]Functional Study'!#REF!</definedName>
    <definedName name="UACCT4102SNPD" localSheetId="9">'[10]Functional Study'!#REF!</definedName>
    <definedName name="UACCT4102SNPD" localSheetId="5">'[10]Functional Study'!#REF!</definedName>
    <definedName name="UACCT4102SNPD" localSheetId="3">'[10]Functional Study'!#REF!</definedName>
    <definedName name="UACCT4102SNPD" localSheetId="4">'[10]Functional Study'!#REF!</definedName>
    <definedName name="UACCT4102SNPD" localSheetId="8">'[10]Functional Study'!#REF!</definedName>
    <definedName name="UACCT4102SNPD">'[10]Functional Study'!#REF!</definedName>
    <definedName name="UAcct41110">'[9]Func Study'!$AB$1325</definedName>
    <definedName name="UAcct41111" localSheetId="6">'[10]Functional Study'!#REF!</definedName>
    <definedName name="UAcct41111" localSheetId="7">'[10]Functional Study'!#REF!</definedName>
    <definedName name="UAcct41111" localSheetId="9">'[10]Functional Study'!#REF!</definedName>
    <definedName name="UAcct41111" localSheetId="5">'[10]Functional Study'!#REF!</definedName>
    <definedName name="UAcct41111" localSheetId="3">'[10]Functional Study'!#REF!</definedName>
    <definedName name="UAcct41111" localSheetId="4">'[10]Functional Study'!#REF!</definedName>
    <definedName name="UAcct41111" localSheetId="8">'[10]Functional Study'!#REF!</definedName>
    <definedName name="UAcct41111">'[10]Functional Study'!#REF!</definedName>
    <definedName name="UAcct41111Baddebt" localSheetId="6">'[10]Functional Study'!#REF!</definedName>
    <definedName name="UAcct41111Baddebt" localSheetId="7">'[10]Functional Study'!#REF!</definedName>
    <definedName name="UAcct41111Baddebt" localSheetId="9">'[10]Functional Study'!#REF!</definedName>
    <definedName name="UAcct41111Baddebt" localSheetId="5">'[10]Functional Study'!#REF!</definedName>
    <definedName name="UAcct41111Baddebt" localSheetId="3">'[10]Functional Study'!#REF!</definedName>
    <definedName name="UAcct41111Baddebt" localSheetId="4">'[10]Functional Study'!#REF!</definedName>
    <definedName name="UAcct41111Baddebt" localSheetId="8">'[10]Functional Study'!#REF!</definedName>
    <definedName name="UAcct41111Baddebt">'[10]Functional Study'!#REF!</definedName>
    <definedName name="UAcct41111Dgp" localSheetId="6">'[10]Functional Study'!#REF!</definedName>
    <definedName name="UAcct41111Dgp" localSheetId="7">'[10]Functional Study'!#REF!</definedName>
    <definedName name="UAcct41111Dgp" localSheetId="9">'[10]Functional Study'!#REF!</definedName>
    <definedName name="UAcct41111Dgp" localSheetId="5">'[10]Functional Study'!#REF!</definedName>
    <definedName name="UAcct41111Dgp" localSheetId="3">'[10]Functional Study'!#REF!</definedName>
    <definedName name="UAcct41111Dgp" localSheetId="4">'[10]Functional Study'!#REF!</definedName>
    <definedName name="UAcct41111Dgp" localSheetId="8">'[10]Functional Study'!#REF!</definedName>
    <definedName name="UAcct41111Dgp">'[10]Functional Study'!#REF!</definedName>
    <definedName name="UAcct41111Dgu" localSheetId="6">'[10]Functional Study'!#REF!</definedName>
    <definedName name="UAcct41111Dgu" localSheetId="7">'[10]Functional Study'!#REF!</definedName>
    <definedName name="UAcct41111Dgu" localSheetId="9">'[10]Functional Study'!#REF!</definedName>
    <definedName name="UAcct41111Dgu" localSheetId="5">'[10]Functional Study'!#REF!</definedName>
    <definedName name="UAcct41111Dgu" localSheetId="3">'[10]Functional Study'!#REF!</definedName>
    <definedName name="UAcct41111Dgu" localSheetId="4">'[10]Functional Study'!#REF!</definedName>
    <definedName name="UAcct41111Dgu" localSheetId="8">'[10]Functional Study'!#REF!</definedName>
    <definedName name="UAcct41111Dgu">'[10]Functional Study'!#REF!</definedName>
    <definedName name="UAcct41111Ditexp" localSheetId="6">'[10]Functional Study'!#REF!</definedName>
    <definedName name="UAcct41111Ditexp" localSheetId="7">'[10]Functional Study'!#REF!</definedName>
    <definedName name="UAcct41111Ditexp" localSheetId="9">'[10]Functional Study'!#REF!</definedName>
    <definedName name="UAcct41111Ditexp" localSheetId="5">'[10]Functional Study'!#REF!</definedName>
    <definedName name="UAcct41111Ditexp" localSheetId="3">'[10]Functional Study'!#REF!</definedName>
    <definedName name="UAcct41111Ditexp" localSheetId="4">'[10]Functional Study'!#REF!</definedName>
    <definedName name="UAcct41111Ditexp" localSheetId="8">'[10]Functional Study'!#REF!</definedName>
    <definedName name="UAcct41111Ditexp">'[10]Functional Study'!#REF!</definedName>
    <definedName name="UAcct41111Dnpp" localSheetId="6">'[10]Functional Study'!#REF!</definedName>
    <definedName name="UAcct41111Dnpp" localSheetId="7">'[10]Functional Study'!#REF!</definedName>
    <definedName name="UAcct41111Dnpp" localSheetId="9">'[10]Functional Study'!#REF!</definedName>
    <definedName name="UAcct41111Dnpp" localSheetId="5">'[10]Functional Study'!#REF!</definedName>
    <definedName name="UAcct41111Dnpp" localSheetId="3">'[10]Functional Study'!#REF!</definedName>
    <definedName name="UAcct41111Dnpp" localSheetId="4">'[10]Functional Study'!#REF!</definedName>
    <definedName name="UAcct41111Dnpp" localSheetId="8">'[10]Functional Study'!#REF!</definedName>
    <definedName name="UAcct41111Dnpp">'[10]Functional Study'!#REF!</definedName>
    <definedName name="UAcct41111Dnptp" localSheetId="6">'[10]Functional Study'!#REF!</definedName>
    <definedName name="UAcct41111Dnptp" localSheetId="7">'[10]Functional Study'!#REF!</definedName>
    <definedName name="UAcct41111Dnptp" localSheetId="9">'[10]Functional Study'!#REF!</definedName>
    <definedName name="UAcct41111Dnptp" localSheetId="5">'[10]Functional Study'!#REF!</definedName>
    <definedName name="UAcct41111Dnptp" localSheetId="3">'[10]Functional Study'!#REF!</definedName>
    <definedName name="UAcct41111Dnptp" localSheetId="4">'[10]Functional Study'!#REF!</definedName>
    <definedName name="UAcct41111Dnptp" localSheetId="8">'[10]Functional Study'!#REF!</definedName>
    <definedName name="UAcct41111Dnptp">'[10]Functional Study'!#REF!</definedName>
    <definedName name="UAcct41111S" localSheetId="6">'[10]Functional Study'!#REF!</definedName>
    <definedName name="UAcct41111S" localSheetId="7">'[10]Functional Study'!#REF!</definedName>
    <definedName name="UAcct41111S" localSheetId="9">'[10]Functional Study'!#REF!</definedName>
    <definedName name="UAcct41111S" localSheetId="5">'[10]Functional Study'!#REF!</definedName>
    <definedName name="UAcct41111S" localSheetId="3">'[10]Functional Study'!#REF!</definedName>
    <definedName name="UAcct41111S" localSheetId="4">'[10]Functional Study'!#REF!</definedName>
    <definedName name="UAcct41111S" localSheetId="8">'[10]Functional Study'!#REF!</definedName>
    <definedName name="UAcct41111S">'[10]Functional Study'!#REF!</definedName>
    <definedName name="UAcct41111Se" localSheetId="6">'[10]Functional Study'!#REF!</definedName>
    <definedName name="UAcct41111Se" localSheetId="7">'[10]Functional Study'!#REF!</definedName>
    <definedName name="UAcct41111Se" localSheetId="9">'[10]Functional Study'!#REF!</definedName>
    <definedName name="UAcct41111Se" localSheetId="5">'[10]Functional Study'!#REF!</definedName>
    <definedName name="UAcct41111Se" localSheetId="3">'[10]Functional Study'!#REF!</definedName>
    <definedName name="UAcct41111Se" localSheetId="4">'[10]Functional Study'!#REF!</definedName>
    <definedName name="UAcct41111Se" localSheetId="8">'[10]Functional Study'!#REF!</definedName>
    <definedName name="UAcct41111Se">'[10]Functional Study'!#REF!</definedName>
    <definedName name="UAcct41111Sg" localSheetId="6">'[10]Functional Study'!#REF!</definedName>
    <definedName name="UAcct41111Sg" localSheetId="7">'[10]Functional Study'!#REF!</definedName>
    <definedName name="UAcct41111Sg" localSheetId="9">'[10]Functional Study'!#REF!</definedName>
    <definedName name="UAcct41111Sg" localSheetId="5">'[10]Functional Study'!#REF!</definedName>
    <definedName name="UAcct41111Sg" localSheetId="3">'[10]Functional Study'!#REF!</definedName>
    <definedName name="UAcct41111Sg" localSheetId="4">'[10]Functional Study'!#REF!</definedName>
    <definedName name="UAcct41111Sg" localSheetId="8">'[10]Functional Study'!#REF!</definedName>
    <definedName name="UAcct41111Sg">'[10]Functional Study'!#REF!</definedName>
    <definedName name="UAcct41111Sgpp" localSheetId="6">'[10]Functional Study'!#REF!</definedName>
    <definedName name="UAcct41111Sgpp" localSheetId="7">'[10]Functional Study'!#REF!</definedName>
    <definedName name="UAcct41111Sgpp" localSheetId="9">'[10]Functional Study'!#REF!</definedName>
    <definedName name="UAcct41111Sgpp" localSheetId="5">'[10]Functional Study'!#REF!</definedName>
    <definedName name="UAcct41111Sgpp" localSheetId="3">'[10]Functional Study'!#REF!</definedName>
    <definedName name="UAcct41111Sgpp" localSheetId="4">'[10]Functional Study'!#REF!</definedName>
    <definedName name="UAcct41111Sgpp" localSheetId="8">'[10]Functional Study'!#REF!</definedName>
    <definedName name="UAcct41111Sgpp">'[10]Functional Study'!#REF!</definedName>
    <definedName name="UAcct41111So" localSheetId="6">'[10]Functional Study'!#REF!</definedName>
    <definedName name="UAcct41111So" localSheetId="7">'[10]Functional Study'!#REF!</definedName>
    <definedName name="UAcct41111So" localSheetId="9">'[10]Functional Study'!#REF!</definedName>
    <definedName name="UAcct41111So" localSheetId="5">'[10]Functional Study'!#REF!</definedName>
    <definedName name="UAcct41111So" localSheetId="3">'[10]Functional Study'!#REF!</definedName>
    <definedName name="UAcct41111So" localSheetId="4">'[10]Functional Study'!#REF!</definedName>
    <definedName name="UAcct41111So" localSheetId="8">'[10]Functional Study'!#REF!</definedName>
    <definedName name="UAcct41111So">'[10]Functional Study'!#REF!</definedName>
    <definedName name="UAcct41111Trojp" localSheetId="6">'[10]Functional Study'!#REF!</definedName>
    <definedName name="UAcct41111Trojp" localSheetId="7">'[10]Functional Study'!#REF!</definedName>
    <definedName name="UAcct41111Trojp" localSheetId="9">'[10]Functional Study'!#REF!</definedName>
    <definedName name="UAcct41111Trojp" localSheetId="5">'[10]Functional Study'!#REF!</definedName>
    <definedName name="UAcct41111Trojp" localSheetId="3">'[10]Functional Study'!#REF!</definedName>
    <definedName name="UAcct41111Trojp" localSheetId="4">'[10]Functional Study'!#REF!</definedName>
    <definedName name="UAcct41111Trojp" localSheetId="8">'[10]Functional Study'!#REF!</definedName>
    <definedName name="UAcct41111Trojp">'[10]Functional Study'!#REF!</definedName>
    <definedName name="UAcct41140">'[9]Func Study'!$AB$1232</definedName>
    <definedName name="UAcct41141">'[9]Func Study'!$AB$1237</definedName>
    <definedName name="UAcct41160">'[9]Func Study'!$AB$369</definedName>
    <definedName name="UAcct41170">'[9]Func Study'!$AB$374</definedName>
    <definedName name="UAcct4118">'[9]Func Study'!$AB$378</definedName>
    <definedName name="UAcct41181">'[9]Func Study'!$AB$381</definedName>
    <definedName name="UAcct4194">'[9]Func Study'!$AB$385</definedName>
    <definedName name="UAcct421">'[9]Func Study'!$AB$394</definedName>
    <definedName name="UAcct4311">'[9]Func Study'!$AB$401</definedName>
    <definedName name="UAcct442Se">'[9]Func Study'!$AB$259</definedName>
    <definedName name="UAcct442Sg">'[9]Func Study'!$AB$260</definedName>
    <definedName name="UAcct447">'[9]Func Study'!$AB$281</definedName>
    <definedName name="UAcct447CAEE" localSheetId="6">'[7]Func Study'!#REF!</definedName>
    <definedName name="UAcct447CAEE" localSheetId="7">'[7]Func Study'!#REF!</definedName>
    <definedName name="UAcct447CAEE" localSheetId="9">'[7]Func Study'!#REF!</definedName>
    <definedName name="UAcct447CAEE" localSheetId="5">'[7]Func Study'!#REF!</definedName>
    <definedName name="UAcct447CAEE" localSheetId="3">'[7]Func Study'!#REF!</definedName>
    <definedName name="UAcct447CAEE" localSheetId="4">'[7]Func Study'!#REF!</definedName>
    <definedName name="UAcct447CAEE" localSheetId="8">'[7]Func Study'!#REF!</definedName>
    <definedName name="UAcct447CAEE">'[7]Func Study'!#REF!</definedName>
    <definedName name="UAcct447CAGE" localSheetId="6">'[7]Func Study'!#REF!</definedName>
    <definedName name="UAcct447CAGE" localSheetId="7">'[7]Func Study'!#REF!</definedName>
    <definedName name="UAcct447CAGE" localSheetId="9">'[7]Func Study'!#REF!</definedName>
    <definedName name="UAcct447CAGE" localSheetId="5">'[7]Func Study'!#REF!</definedName>
    <definedName name="UAcct447CAGE" localSheetId="3">'[7]Func Study'!#REF!</definedName>
    <definedName name="UAcct447CAGE" localSheetId="4">'[7]Func Study'!#REF!</definedName>
    <definedName name="UAcct447CAGE" localSheetId="8">'[7]Func Study'!#REF!</definedName>
    <definedName name="UAcct447CAGE">'[7]Func Study'!#REF!</definedName>
    <definedName name="UAcct447Dgu" localSheetId="6">'[8]Func Study'!#REF!</definedName>
    <definedName name="UAcct447Dgu" localSheetId="7">'[8]Func Study'!#REF!</definedName>
    <definedName name="UAcct447Dgu" localSheetId="9">'[8]Func Study'!#REF!</definedName>
    <definedName name="UAcct447Dgu" localSheetId="5">'[8]Func Study'!#REF!</definedName>
    <definedName name="UAcct447Dgu" localSheetId="3">'[8]Func Study'!#REF!</definedName>
    <definedName name="UAcct447Dgu" localSheetId="4">'[8]Func Study'!#REF!</definedName>
    <definedName name="UAcct447Dgu" localSheetId="8">'[8]Func Study'!#REF!</definedName>
    <definedName name="UAcct447Dgu">'[8]Func Study'!#REF!</definedName>
    <definedName name="UACCT447NPC">'[9]Func Study'!$AB$289</definedName>
    <definedName name="UACCT447NPCCAEW">'[9]Func Study'!$AB$286</definedName>
    <definedName name="UACCT447NPCCAGW">'[9]Func Study'!$AB$287</definedName>
    <definedName name="UACCT447NPCDGP">'[9]Func Study'!$AB$288</definedName>
    <definedName name="UAcct447S">'[9]Func Study'!$AB$280</definedName>
    <definedName name="UAcct448S">'[9]Func Study'!$AB$274</definedName>
    <definedName name="UAcct448So">'[9]Func Study'!$AB$275</definedName>
    <definedName name="UAcct449">'[9]Func Study'!$AB$294</definedName>
    <definedName name="UAcct450">'[9]Func Study'!$AB$304</definedName>
    <definedName name="UAcct450S">'[9]Func Study'!$AB$302</definedName>
    <definedName name="UAcct450So">'[9]Func Study'!$AB$303</definedName>
    <definedName name="UAcct451S">'[9]Func Study'!$AB$307</definedName>
    <definedName name="UAcct451Sg">'[9]Func Study'!$AB$308</definedName>
    <definedName name="UAcct451So">'[9]Func Study'!$AB$309</definedName>
    <definedName name="UAcct453">'[9]Func Study'!$AB$315</definedName>
    <definedName name="UAcct453CAGE" localSheetId="6">'[7]Func Study'!#REF!</definedName>
    <definedName name="UAcct453CAGE" localSheetId="7">'[7]Func Study'!#REF!</definedName>
    <definedName name="UAcct453CAGE" localSheetId="9">'[7]Func Study'!#REF!</definedName>
    <definedName name="UAcct453CAGE" localSheetId="5">'[7]Func Study'!#REF!</definedName>
    <definedName name="UAcct453CAGE" localSheetId="3">'[7]Func Study'!#REF!</definedName>
    <definedName name="UAcct453CAGE" localSheetId="4">'[7]Func Study'!#REF!</definedName>
    <definedName name="UAcct453CAGE" localSheetId="8">'[7]Func Study'!#REF!</definedName>
    <definedName name="UAcct453CAGE">'[7]Func Study'!#REF!</definedName>
    <definedName name="UAcct453CAGW" localSheetId="6">'[7]Func Study'!#REF!</definedName>
    <definedName name="UAcct453CAGW" localSheetId="7">'[7]Func Study'!#REF!</definedName>
    <definedName name="UAcct453CAGW" localSheetId="9">'[7]Func Study'!#REF!</definedName>
    <definedName name="UAcct453CAGW" localSheetId="5">'[7]Func Study'!#REF!</definedName>
    <definedName name="UAcct453CAGW" localSheetId="3">'[7]Func Study'!#REF!</definedName>
    <definedName name="UAcct453CAGW" localSheetId="4">'[7]Func Study'!#REF!</definedName>
    <definedName name="UAcct453CAGW" localSheetId="8">'[7]Func Study'!#REF!</definedName>
    <definedName name="UAcct453CAGW">'[7]Func Study'!#REF!</definedName>
    <definedName name="UAcct454">'[9]Func Study'!$AB$322</definedName>
    <definedName name="UAcct454JBG">'[9]Func Study'!$AB$319</definedName>
    <definedName name="UAcct454S">'[9]Func Study'!$AB$318</definedName>
    <definedName name="UAcct454Sg">'[9]Func Study'!$AB$320</definedName>
    <definedName name="UAcct454So">'[9]Func Study'!$AB$321</definedName>
    <definedName name="UAcct456">'[9]Func Study'!$AB$332</definedName>
    <definedName name="UAcct456CAEW">'[9]Func Study'!$AB$331</definedName>
    <definedName name="UAcct456S">'[9]Func Study'!$AB$325</definedName>
    <definedName name="UAcct456So">'[9]Func Study'!$AB$329</definedName>
    <definedName name="UAcct500">'[9]Func Study'!$AB$416</definedName>
    <definedName name="UAcct500JBG">'[9]Func Study'!$AB$414</definedName>
    <definedName name="UAcct501">'[9]Func Study'!$AB$423</definedName>
    <definedName name="UAcct501CAEW">'[9]Func Study'!$AB$420</definedName>
    <definedName name="UAcct501JBE">'[9]Func Study'!$AB$421</definedName>
    <definedName name="UACCT501NPCCAEW">'[9]Func Study'!$AB$426</definedName>
    <definedName name="UAcct502">'[9]Func Study'!$AB$433</definedName>
    <definedName name="UAcct502CAGE">'[9]Func Study'!$AB$431</definedName>
    <definedName name="UAcct502JBG" localSheetId="6">'[7]Func Study'!#REF!</definedName>
    <definedName name="UAcct502JBG" localSheetId="7">'[7]Func Study'!#REF!</definedName>
    <definedName name="UAcct502JBG" localSheetId="9">'[7]Func Study'!#REF!</definedName>
    <definedName name="UAcct502JBG" localSheetId="5">'[7]Func Study'!#REF!</definedName>
    <definedName name="UAcct502JBG" localSheetId="3">'[7]Func Study'!#REF!</definedName>
    <definedName name="UAcct502JBG" localSheetId="4">'[7]Func Study'!#REF!</definedName>
    <definedName name="UAcct502JBG" localSheetId="8">'[7]Func Study'!#REF!</definedName>
    <definedName name="UAcct502JBG">'[7]Func Study'!#REF!</definedName>
    <definedName name="UAcct503">'[9]Func Study'!$AB$437</definedName>
    <definedName name="UACCT503NPC">'[9]Func Study'!$AB$443</definedName>
    <definedName name="UAcct505">'[9]Func Study'!$AB$449</definedName>
    <definedName name="UAcct505CAGE">'[9]Func Study'!$AB$447</definedName>
    <definedName name="UAcct505JBG" localSheetId="6">'[7]Func Study'!#REF!</definedName>
    <definedName name="UAcct505JBG" localSheetId="7">'[7]Func Study'!#REF!</definedName>
    <definedName name="UAcct505JBG" localSheetId="9">'[7]Func Study'!#REF!</definedName>
    <definedName name="UAcct505JBG" localSheetId="5">'[7]Func Study'!#REF!</definedName>
    <definedName name="UAcct505JBG" localSheetId="3">'[7]Func Study'!#REF!</definedName>
    <definedName name="UAcct505JBG" localSheetId="4">'[7]Func Study'!#REF!</definedName>
    <definedName name="UAcct505JBG" localSheetId="8">'[7]Func Study'!#REF!</definedName>
    <definedName name="UAcct505JBG">'[7]Func Study'!#REF!</definedName>
    <definedName name="UAcct506">'[9]Func Study'!$AB$455</definedName>
    <definedName name="UAcct506CAGE">'[9]Func Study'!$AB$452</definedName>
    <definedName name="UAcct506JBG" localSheetId="6">'[7]Func Study'!#REF!</definedName>
    <definedName name="UAcct506JBG" localSheetId="7">'[7]Func Study'!#REF!</definedName>
    <definedName name="UAcct506JBG" localSheetId="9">'[7]Func Study'!#REF!</definedName>
    <definedName name="UAcct506JBG" localSheetId="5">'[7]Func Study'!#REF!</definedName>
    <definedName name="UAcct506JBG" localSheetId="3">'[7]Func Study'!#REF!</definedName>
    <definedName name="UAcct506JBG" localSheetId="4">'[7]Func Study'!#REF!</definedName>
    <definedName name="UAcct506JBG" localSheetId="8">'[7]Func Study'!#REF!</definedName>
    <definedName name="UAcct506JBG">'[7]Func Study'!#REF!</definedName>
    <definedName name="UAcct507">'[9]Func Study'!$AB$464</definedName>
    <definedName name="UAcct507CAGE">'[9]Func Study'!$AB$462</definedName>
    <definedName name="UAcct507JBG" localSheetId="6">'[7]Func Study'!#REF!</definedName>
    <definedName name="UAcct507JBG" localSheetId="7">'[7]Func Study'!#REF!</definedName>
    <definedName name="UAcct507JBG" localSheetId="9">'[7]Func Study'!#REF!</definedName>
    <definedName name="UAcct507JBG" localSheetId="5">'[7]Func Study'!#REF!</definedName>
    <definedName name="UAcct507JBG" localSheetId="3">'[7]Func Study'!#REF!</definedName>
    <definedName name="UAcct507JBG" localSheetId="4">'[7]Func Study'!#REF!</definedName>
    <definedName name="UAcct507JBG" localSheetId="8">'[7]Func Study'!#REF!</definedName>
    <definedName name="UAcct507JBG">'[7]Func Study'!#REF!</definedName>
    <definedName name="UAcct510">'[9]Func Study'!$AB$469</definedName>
    <definedName name="UAcct510CAGE">'[9]Func Study'!$AB$467</definedName>
    <definedName name="UAcct510JBG" localSheetId="6">'[7]Func Study'!#REF!</definedName>
    <definedName name="UAcct510JBG" localSheetId="7">'[7]Func Study'!#REF!</definedName>
    <definedName name="UAcct510JBG" localSheetId="9">'[7]Func Study'!#REF!</definedName>
    <definedName name="UAcct510JBG" localSheetId="5">'[7]Func Study'!#REF!</definedName>
    <definedName name="UAcct510JBG" localSheetId="3">'[7]Func Study'!#REF!</definedName>
    <definedName name="UAcct510JBG" localSheetId="4">'[7]Func Study'!#REF!</definedName>
    <definedName name="UAcct510JBG" localSheetId="8">'[7]Func Study'!#REF!</definedName>
    <definedName name="UAcct510JBG">'[7]Func Study'!#REF!</definedName>
    <definedName name="UAcct511">'[9]Func Study'!$AB$474</definedName>
    <definedName name="UAcct511CAGE">'[9]Func Study'!$AB$472</definedName>
    <definedName name="UAcct511JBG" localSheetId="6">'[7]Func Study'!#REF!</definedName>
    <definedName name="UAcct511JBG" localSheetId="7">'[7]Func Study'!#REF!</definedName>
    <definedName name="UAcct511JBG" localSheetId="9">'[7]Func Study'!#REF!</definedName>
    <definedName name="UAcct511JBG" localSheetId="5">'[7]Func Study'!#REF!</definedName>
    <definedName name="UAcct511JBG" localSheetId="3">'[7]Func Study'!#REF!</definedName>
    <definedName name="UAcct511JBG" localSheetId="4">'[7]Func Study'!#REF!</definedName>
    <definedName name="UAcct511JBG" localSheetId="8">'[7]Func Study'!#REF!</definedName>
    <definedName name="UAcct511JBG">'[7]Func Study'!#REF!</definedName>
    <definedName name="UAcct512">'[9]Func Study'!$AB$479</definedName>
    <definedName name="UAcct512CAGE">'[9]Func Study'!$AB$477</definedName>
    <definedName name="UAcct512JBG" localSheetId="6">'[7]Func Study'!#REF!</definedName>
    <definedName name="UAcct512JBG" localSheetId="7">'[7]Func Study'!#REF!</definedName>
    <definedName name="UAcct512JBG" localSheetId="9">'[7]Func Study'!#REF!</definedName>
    <definedName name="UAcct512JBG" localSheetId="5">'[7]Func Study'!#REF!</definedName>
    <definedName name="UAcct512JBG" localSheetId="3">'[7]Func Study'!#REF!</definedName>
    <definedName name="UAcct512JBG" localSheetId="4">'[7]Func Study'!#REF!</definedName>
    <definedName name="UAcct512JBG" localSheetId="8">'[7]Func Study'!#REF!</definedName>
    <definedName name="UAcct512JBG">'[7]Func Study'!#REF!</definedName>
    <definedName name="UAcct513">'[9]Func Study'!$AB$484</definedName>
    <definedName name="UAcct513CAGE">'[9]Func Study'!$AB$482</definedName>
    <definedName name="UAcct513JBG" localSheetId="6">'[7]Func Study'!#REF!</definedName>
    <definedName name="UAcct513JBG" localSheetId="7">'[7]Func Study'!#REF!</definedName>
    <definedName name="UAcct513JBG" localSheetId="9">'[7]Func Study'!#REF!</definedName>
    <definedName name="UAcct513JBG" localSheetId="5">'[7]Func Study'!#REF!</definedName>
    <definedName name="UAcct513JBG" localSheetId="3">'[7]Func Study'!#REF!</definedName>
    <definedName name="UAcct513JBG" localSheetId="4">'[7]Func Study'!#REF!</definedName>
    <definedName name="UAcct513JBG" localSheetId="8">'[7]Func Study'!#REF!</definedName>
    <definedName name="UAcct513JBG">'[7]Func Study'!#REF!</definedName>
    <definedName name="UAcct514">'[9]Func Study'!$AB$489</definedName>
    <definedName name="UAcct514CAGE">'[9]Func Study'!$AB$487</definedName>
    <definedName name="UAcct514JBG" localSheetId="6">'[7]Func Study'!#REF!</definedName>
    <definedName name="UAcct514JBG" localSheetId="7">'[7]Func Study'!#REF!</definedName>
    <definedName name="UAcct514JBG" localSheetId="9">'[7]Func Study'!#REF!</definedName>
    <definedName name="UAcct514JBG" localSheetId="5">'[7]Func Study'!#REF!</definedName>
    <definedName name="UAcct514JBG" localSheetId="3">'[7]Func Study'!#REF!</definedName>
    <definedName name="UAcct514JBG" localSheetId="4">'[7]Func Study'!#REF!</definedName>
    <definedName name="UAcct514JBG" localSheetId="8">'[7]Func Study'!#REF!</definedName>
    <definedName name="UAcct514JBG">'[7]Func Study'!#REF!</definedName>
    <definedName name="UAcct517">'[9]Func Study'!$AB$498</definedName>
    <definedName name="UAcct518">'[9]Func Study'!$AB$502</definedName>
    <definedName name="UAcct519">'[9]Func Study'!$AB$507</definedName>
    <definedName name="UAcct520">'[9]Func Study'!$AB$511</definedName>
    <definedName name="UAcct523">'[9]Func Study'!$AB$515</definedName>
    <definedName name="UAcct524">'[9]Func Study'!$AB$519</definedName>
    <definedName name="UAcct528">'[9]Func Study'!$AB$523</definedName>
    <definedName name="UAcct529">'[9]Func Study'!$AB$527</definedName>
    <definedName name="UAcct530">'[9]Func Study'!$AB$531</definedName>
    <definedName name="UAcct531">'[9]Func Study'!$AB$535</definedName>
    <definedName name="UAcct532">'[9]Func Study'!$AB$539</definedName>
    <definedName name="UAcct535">'[9]Func Study'!$AB$551</definedName>
    <definedName name="UAcct536">'[9]Func Study'!$AB$555</definedName>
    <definedName name="UAcct537">'[9]Func Study'!$AB$559</definedName>
    <definedName name="UAcct538">'[9]Func Study'!$AB$563</definedName>
    <definedName name="UAcct539">'[9]Func Study'!$AB$568</definedName>
    <definedName name="UAcct540">'[9]Func Study'!$AB$572</definedName>
    <definedName name="UAcct541">'[9]Func Study'!$AB$576</definedName>
    <definedName name="UAcct542">'[9]Func Study'!$AB$580</definedName>
    <definedName name="UAcct543">'[9]Func Study'!$AB$584</definedName>
    <definedName name="UAcct544">'[9]Func Study'!$AB$588</definedName>
    <definedName name="UAcct545">'[9]Func Study'!$AB$592</definedName>
    <definedName name="UAcct546">'[9]Func Study'!$AB$606</definedName>
    <definedName name="UAcct546CAGE">'[9]Func Study'!$AB$605</definedName>
    <definedName name="UAcct547CAEW">'[9]Func Study'!$AB$610</definedName>
    <definedName name="UACCT547NPCCAEW">'[9]Func Study'!$AB$613</definedName>
    <definedName name="UAcct547Se">'[9]Func Study'!$AB$609</definedName>
    <definedName name="UAcct548">'[9]Func Study'!$AB$621</definedName>
    <definedName name="UACCT548CAGE">'[9]Func Study'!$AB$620</definedName>
    <definedName name="UAcct549">'[9]Func Study'!$AB$626</definedName>
    <definedName name="Uacct549CAGE">'[9]Func Study'!$AB$625</definedName>
    <definedName name="UAcct5506SE" localSheetId="6">'[7]Func Study'!#REF!</definedName>
    <definedName name="UAcct5506SE" localSheetId="7">'[7]Func Study'!#REF!</definedName>
    <definedName name="UAcct5506SE" localSheetId="9">'[7]Func Study'!#REF!</definedName>
    <definedName name="UAcct5506SE" localSheetId="5">'[7]Func Study'!#REF!</definedName>
    <definedName name="UAcct5506SE" localSheetId="3">'[7]Func Study'!#REF!</definedName>
    <definedName name="UAcct5506SE" localSheetId="4">'[7]Func Study'!#REF!</definedName>
    <definedName name="UAcct5506SE" localSheetId="8">'[7]Func Study'!#REF!</definedName>
    <definedName name="UAcct5506SE">'[7]Func Study'!#REF!</definedName>
    <definedName name="UAcct551CAGE">'[9]Func Study'!$AB$634</definedName>
    <definedName name="UACCT551SG">'[9]Func Study'!$AB$635</definedName>
    <definedName name="UACCT552CAGE">'[9]Func Study'!$AB$640</definedName>
    <definedName name="UAcct552SG">'[9]Func Study'!$AB$639</definedName>
    <definedName name="UACCT553CAGE">'[9]Func Study'!$AB$646</definedName>
    <definedName name="UAcct553SG">'[9]Func Study'!$AB$645</definedName>
    <definedName name="UACCT554CAGE">'[9]Func Study'!$AB$651</definedName>
    <definedName name="UAcct554SG">'[9]Func Study'!$AB$650</definedName>
    <definedName name="UAcct555CAEE" localSheetId="6">'[7]Func Study'!#REF!</definedName>
    <definedName name="UAcct555CAEE" localSheetId="7">'[7]Func Study'!#REF!</definedName>
    <definedName name="UAcct555CAEE" localSheetId="9">'[7]Func Study'!#REF!</definedName>
    <definedName name="UAcct555CAEE" localSheetId="5">'[7]Func Study'!#REF!</definedName>
    <definedName name="UAcct555CAEE" localSheetId="3">'[7]Func Study'!#REF!</definedName>
    <definedName name="UAcct555CAEE" localSheetId="4">'[7]Func Study'!#REF!</definedName>
    <definedName name="UAcct555CAEE" localSheetId="8">'[7]Func Study'!#REF!</definedName>
    <definedName name="UAcct555CAEE">'[7]Func Study'!#REF!</definedName>
    <definedName name="UAcct555CAEW">'[9]Func Study'!$AB$665</definedName>
    <definedName name="UAcct555CAGE" localSheetId="6">'[7]Func Study'!#REF!</definedName>
    <definedName name="UAcct555CAGE" localSheetId="7">'[7]Func Study'!#REF!</definedName>
    <definedName name="UAcct555CAGE" localSheetId="9">'[7]Func Study'!#REF!</definedName>
    <definedName name="UAcct555CAGE" localSheetId="5">'[7]Func Study'!#REF!</definedName>
    <definedName name="UAcct555CAGE" localSheetId="3">'[7]Func Study'!#REF!</definedName>
    <definedName name="UAcct555CAGE" localSheetId="4">'[7]Func Study'!#REF!</definedName>
    <definedName name="UAcct555CAGE" localSheetId="8">'[7]Func Study'!#REF!</definedName>
    <definedName name="UAcct555CAGE">'[7]Func Study'!#REF!</definedName>
    <definedName name="UAcct555CAGW">'[9]Func Study'!$AB$664</definedName>
    <definedName name="UACCT555DGP">'[9]Func Study'!$AB$670</definedName>
    <definedName name="UACCT555NPCCAEW">'[9]Func Study'!$AB$669</definedName>
    <definedName name="UACCT555NPCCAGW">'[9]Func Study'!$AB$668</definedName>
    <definedName name="UAcct555S">'[9]Func Study'!$AB$663</definedName>
    <definedName name="UAcct555Se">'[9]Func Study'!$AB$665</definedName>
    <definedName name="UACCT555SG">'[9]Func Study'!$AB$664</definedName>
    <definedName name="UAcct556">'[9]Func Study'!$AB$676</definedName>
    <definedName name="UAcct557">'[9]Func Study'!$AB$685</definedName>
    <definedName name="UAcct560">'[9]Func Study'!$AB$715</definedName>
    <definedName name="UAcct561">'[9]Func Study'!$AB$720</definedName>
    <definedName name="UAcct562">'[9]Func Study'!$AB$726</definedName>
    <definedName name="UAcct563">'[9]Func Study'!$AB$731</definedName>
    <definedName name="UAcct564">'[9]Func Study'!$AB$735</definedName>
    <definedName name="UAcct565">'[9]Func Study'!$AB$739</definedName>
    <definedName name="UACCT565NPC">'[9]Func Study'!$AB$744</definedName>
    <definedName name="UACCT565NPCCAGW">'[9]Func Study'!$AB$742</definedName>
    <definedName name="UAcct566">'[9]Func Study'!$AB$748</definedName>
    <definedName name="UAcct567">'[9]Func Study'!$AB$752</definedName>
    <definedName name="UAcct568">'[9]Func Study'!$AB$756</definedName>
    <definedName name="UAcct569">'[9]Func Study'!$AB$760</definedName>
    <definedName name="UAcct570">'[9]Func Study'!$AB$765</definedName>
    <definedName name="UAcct571">'[9]Func Study'!$AB$770</definedName>
    <definedName name="UAcct572">'[9]Func Study'!$AB$774</definedName>
    <definedName name="UAcct573">'[9]Func Study'!$AB$778</definedName>
    <definedName name="UAcct580">'[9]Func Study'!$AB$791</definedName>
    <definedName name="UAcct581">'[9]Func Study'!$AB$796</definedName>
    <definedName name="UAcct582">'[9]Func Study'!$AB$801</definedName>
    <definedName name="UAcct583">'[9]Func Study'!$AB$806</definedName>
    <definedName name="UAcct584">'[9]Func Study'!$AB$811</definedName>
    <definedName name="UAcct585">'[9]Func Study'!$AB$816</definedName>
    <definedName name="UAcct586">'[9]Func Study'!$AB$821</definedName>
    <definedName name="UAcct587">'[9]Func Study'!$AB$826</definedName>
    <definedName name="UAcct588">'[9]Func Study'!$AB$831</definedName>
    <definedName name="UAcct589">'[9]Func Study'!$AB$836</definedName>
    <definedName name="UAcct590">'[9]Func Study'!$AB$841</definedName>
    <definedName name="UAcct591">'[9]Func Study'!$AB$846</definedName>
    <definedName name="UAcct592">'[9]Func Study'!$AB$851</definedName>
    <definedName name="UAcct593">'[9]Func Study'!$AB$856</definedName>
    <definedName name="UAcct594">'[9]Func Study'!$AB$861</definedName>
    <definedName name="UAcct595">'[9]Func Study'!$AB$866</definedName>
    <definedName name="UAcct596">'[9]Func Study'!$AB$876</definedName>
    <definedName name="UAcct597">'[9]Func Study'!$AB$881</definedName>
    <definedName name="UAcct598">'[9]Func Study'!$AB$886</definedName>
    <definedName name="UAcct901">'[9]Func Study'!$AB$898</definedName>
    <definedName name="UAcct902">'[9]Func Study'!$AB$903</definedName>
    <definedName name="UAcct903">'[9]Func Study'!$AB$908</definedName>
    <definedName name="UAcct904">'[9]Func Study'!$AB$914</definedName>
    <definedName name="Uacct904SG" localSheetId="6">'[11]Functional Study'!#REF!</definedName>
    <definedName name="Uacct904SG" localSheetId="7">'[11]Functional Study'!#REF!</definedName>
    <definedName name="Uacct904SG" localSheetId="9">'[11]Functional Study'!#REF!</definedName>
    <definedName name="Uacct904SG" localSheetId="5">'[11]Functional Study'!#REF!</definedName>
    <definedName name="Uacct904SG" localSheetId="3">'[11]Functional Study'!#REF!</definedName>
    <definedName name="Uacct904SG" localSheetId="4">'[11]Functional Study'!#REF!</definedName>
    <definedName name="Uacct904SG" localSheetId="8">'[11]Functional Study'!#REF!</definedName>
    <definedName name="Uacct904SG">'[11]Functional Study'!#REF!</definedName>
    <definedName name="UAcct905">'[9]Func Study'!$AB$919</definedName>
    <definedName name="UAcct907">'[9]Func Study'!$AB$933</definedName>
    <definedName name="UAcct908">'[9]Func Study'!$AB$938</definedName>
    <definedName name="UAcct909">'[9]Func Study'!$AB$943</definedName>
    <definedName name="UAcct910">'[9]Func Study'!$AB$948</definedName>
    <definedName name="UAcct911">'[9]Func Study'!$AB$959</definedName>
    <definedName name="UAcct912">'[9]Func Study'!$AB$964</definedName>
    <definedName name="UAcct913">'[9]Func Study'!$AB$969</definedName>
    <definedName name="UAcct916">'[9]Func Study'!$AB$974</definedName>
    <definedName name="UAcct920">'[9]Func Study'!$AB$985</definedName>
    <definedName name="UAcct920Cn">'[9]Func Study'!$AB$983</definedName>
    <definedName name="UAcct921">'[9]Func Study'!$AB$991</definedName>
    <definedName name="UAcct921Cn">'[9]Func Study'!$AB$989</definedName>
    <definedName name="UAcct923">'[9]Func Study'!$AB$997</definedName>
    <definedName name="UAcct923CAGW">'[9]Func Study'!$AB$995</definedName>
    <definedName name="UAcct924">'[9]Func Study'!$AB$1001</definedName>
    <definedName name="UAcct925">'[9]Func Study'!$AB$1005</definedName>
    <definedName name="UAcct926">'[9]Func Study'!$AB$1011</definedName>
    <definedName name="UAcct927">'[9]Func Study'!$AB$1016</definedName>
    <definedName name="UAcct928">'[9]Func Study'!$AB$1023</definedName>
    <definedName name="UAcct929">'[9]Func Study'!$AB$1028</definedName>
    <definedName name="UAcct930">'[9]Func Study'!$AB$1034</definedName>
    <definedName name="UAcct931">'[9]Func Study'!$AB$1039</definedName>
    <definedName name="UAcct935">'[9]Func Study'!$AB$1045</definedName>
    <definedName name="UAcctAGA">'[9]Func Study'!$AB$296</definedName>
    <definedName name="UAcctcwc">'[9]Func Study'!$AB$2136</definedName>
    <definedName name="UAcctd00">'[9]Func Study'!$AB$1786</definedName>
    <definedName name="UAcctdfa" localSheetId="6">'[9]Func Study'!#REF!</definedName>
    <definedName name="UAcctdfa" localSheetId="7">'[9]Func Study'!#REF!</definedName>
    <definedName name="UAcctdfa" localSheetId="9">'[9]Func Study'!#REF!</definedName>
    <definedName name="UAcctdfa" localSheetId="5">'[9]Func Study'!#REF!</definedName>
    <definedName name="UAcctdfa" localSheetId="3">'[9]Func Study'!#REF!</definedName>
    <definedName name="UAcctdfa" localSheetId="4">'[9]Func Study'!#REF!</definedName>
    <definedName name="UAcctdfa" localSheetId="8">'[9]Func Study'!#REF!</definedName>
    <definedName name="UAcctdfa">'[9]Func Study'!#REF!</definedName>
    <definedName name="UAcctdfad" localSheetId="6">'[9]Func Study'!#REF!</definedName>
    <definedName name="UAcctdfad" localSheetId="7">'[9]Func Study'!#REF!</definedName>
    <definedName name="UAcctdfad" localSheetId="9">'[9]Func Study'!#REF!</definedName>
    <definedName name="UAcctdfad" localSheetId="5">'[9]Func Study'!#REF!</definedName>
    <definedName name="UAcctdfad" localSheetId="3">'[9]Func Study'!#REF!</definedName>
    <definedName name="UAcctdfad" localSheetId="4">'[9]Func Study'!#REF!</definedName>
    <definedName name="UAcctdfad" localSheetId="8">'[9]Func Study'!#REF!</definedName>
    <definedName name="UAcctdfad">'[9]Func Study'!#REF!</definedName>
    <definedName name="UAcctdfap" localSheetId="6">'[9]Func Study'!#REF!</definedName>
    <definedName name="UAcctdfap" localSheetId="7">'[9]Func Study'!#REF!</definedName>
    <definedName name="UAcctdfap" localSheetId="9">'[9]Func Study'!#REF!</definedName>
    <definedName name="UAcctdfap" localSheetId="5">'[9]Func Study'!#REF!</definedName>
    <definedName name="UAcctdfap" localSheetId="3">'[9]Func Study'!#REF!</definedName>
    <definedName name="UAcctdfap" localSheetId="4">'[9]Func Study'!#REF!</definedName>
    <definedName name="UAcctdfap" localSheetId="8">'[9]Func Study'!#REF!</definedName>
    <definedName name="UAcctdfap">'[9]Func Study'!#REF!</definedName>
    <definedName name="UAcctdfat" localSheetId="6">'[9]Func Study'!#REF!</definedName>
    <definedName name="UAcctdfat" localSheetId="7">'[9]Func Study'!#REF!</definedName>
    <definedName name="UAcctdfat" localSheetId="9">'[9]Func Study'!#REF!</definedName>
    <definedName name="UAcctdfat" localSheetId="5">'[9]Func Study'!#REF!</definedName>
    <definedName name="UAcctdfat" localSheetId="3">'[9]Func Study'!#REF!</definedName>
    <definedName name="UAcctdfat" localSheetId="4">'[9]Func Study'!#REF!</definedName>
    <definedName name="UAcctdfat" localSheetId="8">'[9]Func Study'!#REF!</definedName>
    <definedName name="UAcctdfat">'[9]Func Study'!#REF!</definedName>
    <definedName name="UAcctds0">'[9]Func Study'!$AB$1790</definedName>
    <definedName name="UACCTECDDGP">'[9]Func Study'!$AB$687</definedName>
    <definedName name="UACCTECDMC">'[9]Func Study'!$AB$689</definedName>
    <definedName name="UACCTECDS">'[9]Func Study'!$AB$691</definedName>
    <definedName name="UACCTECDSG1">'[9]Func Study'!$AB$688</definedName>
    <definedName name="UACCTECDSG2">'[9]Func Study'!$AB$690</definedName>
    <definedName name="UACCTECDSG3">'[9]Func Study'!$AB$692</definedName>
    <definedName name="UAcctfit">'[9]Func Study'!$AB$1395</definedName>
    <definedName name="UAcctg00">'[9]Func Study'!$AB$1947</definedName>
    <definedName name="UAccth00">'[9]Func Study'!$AB$1545</definedName>
    <definedName name="UAccti00">'[9]Func Study'!$AB$1993</definedName>
    <definedName name="UAcctn00">'[9]Func Study'!$AB$1496</definedName>
    <definedName name="UAccto00">'[9]Func Study'!$AB$1606</definedName>
    <definedName name="UAcctowc">'[9]Func Study'!$AB$2149</definedName>
    <definedName name="UACCTOWCSSECH">'[9]Func Study'!$AB$2148</definedName>
    <definedName name="UAccts00">'[9]Func Study'!$AB$1455</definedName>
    <definedName name="UAcctsttax">'[9]Func Study'!$AB$1377</definedName>
    <definedName name="UAcctt00">'[9]Func Study'!$AB$1682</definedName>
    <definedName name="UNBILREV" localSheetId="6">#REF!</definedName>
    <definedName name="UNBILREV" localSheetId="7">#REF!</definedName>
    <definedName name="UNBILREV" localSheetId="9">#REF!</definedName>
    <definedName name="UNBILREV" localSheetId="5">#REF!</definedName>
    <definedName name="UNBILREV" localSheetId="3">#REF!</definedName>
    <definedName name="UNBILREV" localSheetId="4">#REF!</definedName>
    <definedName name="UNBILREV" localSheetId="8">#REF!</definedName>
    <definedName name="UNBILREV">#REF!</definedName>
    <definedName name="UncollectibleAccounts">[13]Variables!$D$25</definedName>
    <definedName name="UtGrossReceipts">[13]Variables!$D$29</definedName>
    <definedName name="ValidAccount">[12]Variables!$AK$43:$AK$369</definedName>
    <definedName name="VAR" localSheetId="6">[14]Backup!#REF!</definedName>
    <definedName name="VAR" localSheetId="7">[14]Backup!#REF!</definedName>
    <definedName name="VAR" localSheetId="9">[14]Backup!#REF!</definedName>
    <definedName name="VAR" localSheetId="5">[14]Backup!#REF!</definedName>
    <definedName name="VAR" localSheetId="3">[14]Backup!#REF!</definedName>
    <definedName name="VAR" localSheetId="4">[14]Backup!#REF!</definedName>
    <definedName name="VAR" localSheetId="8">[14]Backup!#REF!</definedName>
    <definedName name="VAR">[14]Backup!#REF!</definedName>
    <definedName name="VARIABLE" localSheetId="6">[19]Summary!#REF!</definedName>
    <definedName name="VARIABLE" localSheetId="7">[19]Summary!#REF!</definedName>
    <definedName name="VARIABLE" localSheetId="9">[19]Summary!#REF!</definedName>
    <definedName name="VARIABLE" localSheetId="5">[19]Summary!#REF!</definedName>
    <definedName name="VARIABLE" localSheetId="3">[19]Summary!#REF!</definedName>
    <definedName name="VARIABLE" localSheetId="4">[19]Summary!#REF!</definedName>
    <definedName name="VARIABLE" localSheetId="8">[19]Summary!#REF!</definedName>
    <definedName name="VARIABLE">[19]Summary!#REF!</definedName>
    <definedName name="VOUCHER" localSheetId="6">#REF!</definedName>
    <definedName name="VOUCHER" localSheetId="7">#REF!</definedName>
    <definedName name="VOUCHER" localSheetId="9">#REF!</definedName>
    <definedName name="VOUCHER" localSheetId="5">#REF!</definedName>
    <definedName name="VOUCHER" localSheetId="3">#REF!</definedName>
    <definedName name="VOUCHER" localSheetId="4">#REF!</definedName>
    <definedName name="VOUCHER" localSheetId="8">#REF!</definedName>
    <definedName name="VOUCHER">#REF!</definedName>
    <definedName name="WaRevenueTax">[13]Variables!$D$27</definedName>
    <definedName name="WEATHER" localSheetId="6">#REF!</definedName>
    <definedName name="WEATHER" localSheetId="7">#REF!</definedName>
    <definedName name="WEATHER" localSheetId="9">#REF!</definedName>
    <definedName name="WEATHER" localSheetId="5">#REF!</definedName>
    <definedName name="WEATHER" localSheetId="3">#REF!</definedName>
    <definedName name="WEATHER" localSheetId="4">#REF!</definedName>
    <definedName name="WEATHER" localSheetId="8">#REF!</definedName>
    <definedName name="WEATHER">#REF!</definedName>
    <definedName name="WEATHRNORM" localSheetId="6">#REF!</definedName>
    <definedName name="WEATHRNORM" localSheetId="7">#REF!</definedName>
    <definedName name="WEATHRNORM" localSheetId="9">#REF!</definedName>
    <definedName name="WEATHRNORM" localSheetId="5">#REF!</definedName>
    <definedName name="WEATHRNORM" localSheetId="3">#REF!</definedName>
    <definedName name="WEATHRNORM" localSheetId="4">#REF!</definedName>
    <definedName name="WEATHRNORM" localSheetId="8">#REF!</definedName>
    <definedName name="WEATHRNORM">#REF!</definedName>
    <definedName name="WIDTH" localSheetId="6">#REF!</definedName>
    <definedName name="WIDTH" localSheetId="7">#REF!</definedName>
    <definedName name="WIDTH" localSheetId="9">#REF!</definedName>
    <definedName name="WIDTH" localSheetId="5">#REF!</definedName>
    <definedName name="WIDTH" localSheetId="3">#REF!</definedName>
    <definedName name="WIDTH" localSheetId="4">#REF!</definedName>
    <definedName name="WIDTH" localSheetId="8">#REF!</definedName>
    <definedName name="WIDTH">#REF!</definedName>
    <definedName name="WinterPeak">'[27]Load Data'!$D$9:$H$12,'[27]Load Data'!$D$20:$H$22</definedName>
    <definedName name="WORK1" localSheetId="6">#REF!</definedName>
    <definedName name="WORK1" localSheetId="7">#REF!</definedName>
    <definedName name="WORK1" localSheetId="9">#REF!</definedName>
    <definedName name="WORK1" localSheetId="5">#REF!</definedName>
    <definedName name="WORK1" localSheetId="3">#REF!</definedName>
    <definedName name="WORK1" localSheetId="4">#REF!</definedName>
    <definedName name="WORK1" localSheetId="8">#REF!</definedName>
    <definedName name="WORK1">#REF!</definedName>
    <definedName name="WORK2" localSheetId="6">#REF!</definedName>
    <definedName name="WORK2" localSheetId="7">#REF!</definedName>
    <definedName name="WORK2" localSheetId="9">#REF!</definedName>
    <definedName name="WORK2" localSheetId="5">#REF!</definedName>
    <definedName name="WORK2" localSheetId="3">#REF!</definedName>
    <definedName name="WORK2" localSheetId="4">#REF!</definedName>
    <definedName name="WORK2" localSheetId="8">#REF!</definedName>
    <definedName name="WORK2">#REF!</definedName>
    <definedName name="WORK3" localSheetId="6">#REF!</definedName>
    <definedName name="WORK3" localSheetId="7">#REF!</definedName>
    <definedName name="WORK3" localSheetId="9">#REF!</definedName>
    <definedName name="WORK3" localSheetId="5">#REF!</definedName>
    <definedName name="WORK3" localSheetId="3">#REF!</definedName>
    <definedName name="WORK3" localSheetId="4">#REF!</definedName>
    <definedName name="WORK3" localSheetId="8">#REF!</definedName>
    <definedName name="WORK3">#REF!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Small._.Tools._.Overhead." hidden="1">{#N/A,#N/A,FALSE,"2002 Small Tool OH";#N/A,#N/A,FALSE,"QA"}</definedName>
    <definedName name="x">'[28]Weather Present'!$K$7</definedName>
    <definedName name="y" localSheetId="6" hidden="1">#REF!</definedName>
    <definedName name="y" localSheetId="7" hidden="1">#REF!</definedName>
    <definedName name="y" localSheetId="9" hidden="1">#REF!</definedName>
    <definedName name="y" localSheetId="2" hidden="1">#REF!</definedName>
    <definedName name="y" localSheetId="5" hidden="1">#REF!</definedName>
    <definedName name="y" localSheetId="3" hidden="1">#REF!</definedName>
    <definedName name="y" localSheetId="4" hidden="1">#REF!</definedName>
    <definedName name="y" localSheetId="8" hidden="1">#REF!</definedName>
    <definedName name="y" hidden="1">'[5]DSM Output'!$B$21:$B$23</definedName>
    <definedName name="Year" localSheetId="6">#REF!</definedName>
    <definedName name="Year" localSheetId="7">#REF!</definedName>
    <definedName name="Year" localSheetId="9">#REF!</definedName>
    <definedName name="Year" localSheetId="5">#REF!</definedName>
    <definedName name="Year" localSheetId="3">#REF!</definedName>
    <definedName name="Year" localSheetId="4">#REF!</definedName>
    <definedName name="Year" localSheetId="8">#REF!</definedName>
    <definedName name="Year">#REF!</definedName>
    <definedName name="YEFactors">[12]Factors!$S$3:$AG$99</definedName>
    <definedName name="z" localSheetId="6" hidden="1">#REF!</definedName>
    <definedName name="z" localSheetId="7" hidden="1">#REF!</definedName>
    <definedName name="z" localSheetId="9" hidden="1">#REF!</definedName>
    <definedName name="z" localSheetId="2" hidden="1">#REF!</definedName>
    <definedName name="z" localSheetId="5" hidden="1">#REF!</definedName>
    <definedName name="z" localSheetId="3" hidden="1">#REF!</definedName>
    <definedName name="z" localSheetId="4" hidden="1">#REF!</definedName>
    <definedName name="z" localSheetId="8" hidden="1">#REF!</definedName>
    <definedName name="z" hidden="1">'[5]DSM Output'!$G$21:$G$23</definedName>
    <definedName name="ZA" localSheetId="6">'[29] annual balance '!#REF!</definedName>
    <definedName name="ZA" localSheetId="7">'[29] annual balance '!#REF!</definedName>
    <definedName name="ZA" localSheetId="9">'[29] annual balance '!#REF!</definedName>
    <definedName name="ZA" localSheetId="5">'[29] annual balance '!#REF!</definedName>
    <definedName name="ZA" localSheetId="3">'[29] annual balance '!#REF!</definedName>
    <definedName name="ZA" localSheetId="4">'[29] annual balance '!#REF!</definedName>
    <definedName name="ZA" localSheetId="8">'[29] annual balance '!#REF!</definedName>
    <definedName name="ZA">'[29] annual balance '!#REF!</definedName>
  </definedNames>
  <calcPr calcId="145621" iterate="1" iterateDelta="1E-4" calcOnSave="0"/>
</workbook>
</file>

<file path=xl/calcChain.xml><?xml version="1.0" encoding="utf-8"?>
<calcChain xmlns="http://schemas.openxmlformats.org/spreadsheetml/2006/main">
  <c r="B43" i="30" l="1"/>
  <c r="B44" i="30"/>
  <c r="B45" i="30"/>
  <c r="B46" i="30"/>
  <c r="B47" i="30"/>
  <c r="B48" i="30"/>
  <c r="B49" i="30"/>
  <c r="B50" i="30"/>
  <c r="B51" i="30"/>
  <c r="B52" i="30"/>
  <c r="J31" i="19" l="1"/>
  <c r="I45" i="18" l="1"/>
  <c r="G22" i="17" l="1"/>
  <c r="G38" i="2" l="1"/>
  <c r="A133" i="30" l="1"/>
  <c r="B133" i="30"/>
  <c r="A134" i="30"/>
  <c r="A135" i="30" s="1"/>
  <c r="A136" i="30" s="1"/>
  <c r="A137" i="30" s="1"/>
  <c r="B134" i="30"/>
  <c r="B135" i="30"/>
  <c r="B136" i="30"/>
  <c r="B137" i="30"/>
  <c r="M32" i="19" l="1"/>
  <c r="M31" i="19"/>
  <c r="M30" i="19"/>
  <c r="M28" i="19"/>
  <c r="M26" i="19"/>
  <c r="M24" i="19"/>
  <c r="M22" i="19"/>
  <c r="M21" i="19"/>
  <c r="M20" i="19"/>
  <c r="M16" i="19"/>
  <c r="M15" i="19"/>
  <c r="M10" i="19"/>
  <c r="M9" i="19"/>
  <c r="F124" i="30" l="1"/>
  <c r="G9" i="17" l="1"/>
  <c r="G9" i="18"/>
  <c r="G9" i="15"/>
  <c r="H9" i="16"/>
  <c r="G9" i="14"/>
  <c r="G9" i="13"/>
  <c r="A3" i="17"/>
  <c r="A3" i="18"/>
  <c r="A3" i="15"/>
  <c r="A3" i="16"/>
  <c r="A3" i="14"/>
  <c r="A3" i="13"/>
  <c r="A3" i="2"/>
  <c r="C23" i="18" l="1"/>
  <c r="C60" i="16" l="1"/>
  <c r="C55" i="16"/>
  <c r="C56" i="16"/>
  <c r="C57" i="16"/>
  <c r="A8" i="30"/>
  <c r="E180" i="30" l="1"/>
  <c r="E177" i="30"/>
  <c r="E176" i="30"/>
  <c r="E111" i="30"/>
  <c r="C59" i="16" s="1"/>
  <c r="E171" i="30" l="1"/>
  <c r="E179" i="30" s="1"/>
  <c r="F172" i="30" l="1"/>
  <c r="F169" i="30"/>
  <c r="F168" i="30"/>
  <c r="F47" i="30" l="1"/>
  <c r="F11" i="30"/>
  <c r="F8" i="30"/>
  <c r="B180" i="30" l="1"/>
  <c r="D179" i="30"/>
  <c r="B179" i="30"/>
  <c r="B178" i="30"/>
  <c r="B177" i="30"/>
  <c r="D176" i="30"/>
  <c r="B176" i="30"/>
  <c r="B175" i="30"/>
  <c r="F180" i="30"/>
  <c r="D22" i="18"/>
  <c r="B172" i="30"/>
  <c r="D171" i="30"/>
  <c r="B171" i="30"/>
  <c r="B170" i="30"/>
  <c r="F177" i="30"/>
  <c r="D21" i="18"/>
  <c r="B169" i="30"/>
  <c r="F176" i="30"/>
  <c r="D14" i="18"/>
  <c r="D168" i="30"/>
  <c r="B168" i="30"/>
  <c r="B167" i="30"/>
  <c r="D37" i="15"/>
  <c r="D164" i="30"/>
  <c r="B164" i="30"/>
  <c r="B163" i="30"/>
  <c r="D32" i="15"/>
  <c r="B162" i="30"/>
  <c r="B159" i="30"/>
  <c r="B158" i="30"/>
  <c r="B157" i="30"/>
  <c r="D156" i="30"/>
  <c r="D158" i="30" s="1"/>
  <c r="B156" i="30"/>
  <c r="B155" i="30"/>
  <c r="B154" i="30"/>
  <c r="D151" i="30"/>
  <c r="B151" i="30"/>
  <c r="D150" i="30"/>
  <c r="B150" i="30"/>
  <c r="D146" i="30"/>
  <c r="B149" i="30"/>
  <c r="D139" i="30"/>
  <c r="B148" i="30"/>
  <c r="D142" i="30"/>
  <c r="B147" i="30"/>
  <c r="D148" i="30"/>
  <c r="B146" i="30"/>
  <c r="D144" i="30"/>
  <c r="B145" i="30"/>
  <c r="D140" i="30"/>
  <c r="B144" i="30"/>
  <c r="D145" i="30"/>
  <c r="B143" i="30"/>
  <c r="D138" i="30"/>
  <c r="B142" i="30"/>
  <c r="D147" i="30"/>
  <c r="B141" i="30"/>
  <c r="D143" i="30"/>
  <c r="B140" i="30"/>
  <c r="D141" i="30"/>
  <c r="B139" i="30"/>
  <c r="D149" i="30"/>
  <c r="B138" i="30"/>
  <c r="D133" i="30"/>
  <c r="D132" i="30"/>
  <c r="B132" i="30"/>
  <c r="D131" i="30"/>
  <c r="B131" i="30"/>
  <c r="B130" i="30"/>
  <c r="B129" i="30"/>
  <c r="B128" i="30"/>
  <c r="B127" i="30"/>
  <c r="B126" i="30"/>
  <c r="B125" i="30"/>
  <c r="B124" i="30"/>
  <c r="B123" i="30"/>
  <c r="B122" i="30"/>
  <c r="B121" i="30"/>
  <c r="E36" i="16"/>
  <c r="D120" i="30"/>
  <c r="B120" i="30"/>
  <c r="D119" i="30"/>
  <c r="B119" i="30"/>
  <c r="B118" i="30"/>
  <c r="B117" i="30"/>
  <c r="D116" i="30"/>
  <c r="B116" i="30"/>
  <c r="E31" i="16"/>
  <c r="D115" i="30"/>
  <c r="B115" i="30"/>
  <c r="E30" i="16"/>
  <c r="D114" i="30"/>
  <c r="B114" i="30"/>
  <c r="B113" i="30"/>
  <c r="B112" i="30"/>
  <c r="B111" i="30"/>
  <c r="E22" i="16"/>
  <c r="B110" i="30"/>
  <c r="B109" i="30"/>
  <c r="E21" i="16"/>
  <c r="B108" i="30"/>
  <c r="B107" i="30"/>
  <c r="B106" i="30"/>
  <c r="E17" i="16"/>
  <c r="B105" i="30"/>
  <c r="E16" i="16"/>
  <c r="B104" i="30"/>
  <c r="E15" i="16"/>
  <c r="D103" i="30"/>
  <c r="B103" i="30"/>
  <c r="B102" i="30"/>
  <c r="D69" i="14"/>
  <c r="D98" i="30"/>
  <c r="B98" i="30"/>
  <c r="B97" i="30"/>
  <c r="D96" i="30"/>
  <c r="B96" i="30"/>
  <c r="B95" i="30"/>
  <c r="D64" i="14"/>
  <c r="D94" i="30"/>
  <c r="B94" i="30"/>
  <c r="B93" i="30"/>
  <c r="D58" i="14"/>
  <c r="D92" i="30"/>
  <c r="D108" i="30" s="1"/>
  <c r="D154" i="30" s="1"/>
  <c r="B92" i="30"/>
  <c r="B91" i="30"/>
  <c r="D56" i="14"/>
  <c r="D90" i="30"/>
  <c r="B90" i="30"/>
  <c r="D49" i="14"/>
  <c r="D87" i="30"/>
  <c r="B87" i="30"/>
  <c r="B86" i="30"/>
  <c r="D46" i="14"/>
  <c r="D85" i="30"/>
  <c r="B85" i="30"/>
  <c r="D45" i="14"/>
  <c r="D84" i="30"/>
  <c r="B84" i="30"/>
  <c r="B83" i="30"/>
  <c r="D39" i="14"/>
  <c r="D41" i="14" s="1"/>
  <c r="B82" i="30"/>
  <c r="B81" i="30"/>
  <c r="D37" i="14"/>
  <c r="D80" i="30"/>
  <c r="D82" i="30" s="1"/>
  <c r="B80" i="30"/>
  <c r="D27" i="14"/>
  <c r="D77" i="30"/>
  <c r="B77" i="30"/>
  <c r="B76" i="30"/>
  <c r="D24" i="14"/>
  <c r="B75" i="30"/>
  <c r="D23" i="14"/>
  <c r="B74" i="30"/>
  <c r="B73" i="30"/>
  <c r="D17" i="14"/>
  <c r="B72" i="30"/>
  <c r="B71" i="30"/>
  <c r="D15" i="14"/>
  <c r="D70" i="30"/>
  <c r="D105" i="30" s="1"/>
  <c r="B70" i="30"/>
  <c r="D124" i="13"/>
  <c r="B67" i="30"/>
  <c r="B66" i="30"/>
  <c r="D121" i="13"/>
  <c r="D65" i="30"/>
  <c r="D67" i="30" s="1"/>
  <c r="B65" i="30"/>
  <c r="D120" i="13"/>
  <c r="D64" i="30"/>
  <c r="B64" i="30"/>
  <c r="D63" i="30"/>
  <c r="B63" i="30"/>
  <c r="B62" i="30"/>
  <c r="D113" i="13"/>
  <c r="B61" i="30"/>
  <c r="D112" i="13"/>
  <c r="B60" i="30"/>
  <c r="D111" i="13"/>
  <c r="D59" i="30"/>
  <c r="D60" i="30" s="1"/>
  <c r="D61" i="30" s="1"/>
  <c r="B59" i="30"/>
  <c r="D110" i="13"/>
  <c r="B58" i="30"/>
  <c r="B57" i="30"/>
  <c r="D107" i="13"/>
  <c r="D56" i="30"/>
  <c r="B56" i="30"/>
  <c r="D106" i="13"/>
  <c r="D55" i="30"/>
  <c r="B55" i="30"/>
  <c r="D48" i="30"/>
  <c r="D88" i="13"/>
  <c r="D76" i="13"/>
  <c r="D45" i="30"/>
  <c r="D42" i="30"/>
  <c r="B42" i="30"/>
  <c r="B41" i="30"/>
  <c r="D64" i="13"/>
  <c r="D40" i="30"/>
  <c r="D46" i="30" s="1"/>
  <c r="D47" i="30" s="1"/>
  <c r="D49" i="30" s="1"/>
  <c r="D50" i="30" s="1"/>
  <c r="D51" i="30" s="1"/>
  <c r="D52" i="30" s="1"/>
  <c r="D72" i="30" s="1"/>
  <c r="D74" i="30" s="1"/>
  <c r="D75" i="30" s="1"/>
  <c r="B40" i="30"/>
  <c r="D63" i="13"/>
  <c r="B39" i="30"/>
  <c r="B38" i="30"/>
  <c r="B37" i="30"/>
  <c r="B36" i="30"/>
  <c r="D55" i="13"/>
  <c r="D35" i="30"/>
  <c r="D104" i="30" s="1"/>
  <c r="B35" i="30"/>
  <c r="D45" i="13"/>
  <c r="D32" i="30"/>
  <c r="B32" i="30"/>
  <c r="B31" i="30"/>
  <c r="D42" i="13"/>
  <c r="D30" i="30"/>
  <c r="B30" i="30"/>
  <c r="D41" i="13"/>
  <c r="D29" i="30"/>
  <c r="B29" i="30"/>
  <c r="D28" i="30"/>
  <c r="B28" i="30"/>
  <c r="B27" i="30"/>
  <c r="D35" i="13"/>
  <c r="B26" i="30"/>
  <c r="D34" i="13"/>
  <c r="D25" i="30"/>
  <c r="D26" i="30" s="1"/>
  <c r="B25" i="30"/>
  <c r="D33" i="13"/>
  <c r="B24" i="30"/>
  <c r="B23" i="30"/>
  <c r="D31" i="13"/>
  <c r="B22" i="30"/>
  <c r="D20" i="13"/>
  <c r="D19" i="30"/>
  <c r="B19" i="30"/>
  <c r="D19" i="13"/>
  <c r="B18" i="30"/>
  <c r="B17" i="30"/>
  <c r="D16" i="13"/>
  <c r="B16" i="30"/>
  <c r="D15" i="13"/>
  <c r="B15" i="30"/>
  <c r="D34" i="2"/>
  <c r="D12" i="30"/>
  <c r="B12" i="30"/>
  <c r="D33" i="2"/>
  <c r="B11" i="30"/>
  <c r="B10" i="30"/>
  <c r="D30" i="2"/>
  <c r="D15" i="2" s="1"/>
  <c r="D29" i="2"/>
  <c r="A9" i="30"/>
  <c r="A10" i="30" s="1"/>
  <c r="A11" i="30" s="1"/>
  <c r="A12" i="30" s="1"/>
  <c r="D14" i="2" l="1"/>
  <c r="D18" i="2"/>
  <c r="D23" i="13"/>
  <c r="G35" i="2"/>
  <c r="A13" i="30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D22" i="13"/>
  <c r="E24" i="16"/>
  <c r="E25" i="16"/>
  <c r="D115" i="13"/>
  <c r="D67" i="14"/>
  <c r="F67" i="14" s="1"/>
  <c r="D19" i="14"/>
  <c r="D37" i="13"/>
  <c r="D116" i="13"/>
  <c r="D79" i="16"/>
  <c r="D77" i="16"/>
  <c r="D75" i="16"/>
  <c r="D73" i="16"/>
  <c r="D71" i="16"/>
  <c r="D69" i="16"/>
  <c r="D67" i="16"/>
  <c r="D68" i="16"/>
  <c r="D78" i="16"/>
  <c r="D76" i="16"/>
  <c r="D74" i="16"/>
  <c r="D72" i="16"/>
  <c r="D70" i="16"/>
  <c r="D66" i="16"/>
  <c r="D16" i="15"/>
  <c r="D57" i="13"/>
  <c r="D67" i="13"/>
  <c r="D35" i="2"/>
  <c r="D19" i="2"/>
  <c r="E109" i="30"/>
  <c r="C61" i="16" s="1"/>
  <c r="E48" i="30"/>
  <c r="E49" i="30"/>
  <c r="D159" i="30"/>
  <c r="D162" i="30"/>
  <c r="D169" i="30" s="1"/>
  <c r="E50" i="30"/>
  <c r="D109" i="30"/>
  <c r="D110" i="30" s="1"/>
  <c r="D111" i="30" s="1"/>
  <c r="F171" i="30"/>
  <c r="F179" i="30" s="1"/>
  <c r="D36" i="2" l="1"/>
  <c r="A126" i="30"/>
  <c r="A127" i="30" s="1"/>
  <c r="A128" i="30" s="1"/>
  <c r="A129" i="30" s="1"/>
  <c r="A130" i="30" s="1"/>
  <c r="A131" i="30" s="1"/>
  <c r="A132" i="30" s="1"/>
  <c r="D17" i="15"/>
  <c r="D21" i="2"/>
  <c r="D59" i="13"/>
  <c r="D177" i="30"/>
  <c r="D180" i="30" s="1"/>
  <c r="D172" i="30"/>
  <c r="D38" i="2" l="1"/>
  <c r="A138" i="30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U33" i="1" l="1"/>
  <c r="U46" i="1"/>
  <c r="A9" i="19" l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K19" i="17" l="1"/>
  <c r="K20" i="17"/>
  <c r="K18" i="17"/>
  <c r="K15" i="17" l="1"/>
  <c r="K17" i="17"/>
  <c r="K16" i="17" l="1"/>
  <c r="M22" i="17" l="1"/>
  <c r="K14" i="17"/>
  <c r="L22" i="17"/>
  <c r="K13" i="17"/>
  <c r="K22" i="17" l="1"/>
  <c r="J42" i="1" l="1"/>
  <c r="D27" i="19" s="1"/>
  <c r="C22" i="17" l="1"/>
  <c r="H42" i="1" s="1"/>
  <c r="G43" i="18"/>
  <c r="G41" i="18"/>
  <c r="D37" i="18"/>
  <c r="G37" i="18" s="1"/>
  <c r="I43" i="18" l="1"/>
  <c r="G36" i="18"/>
  <c r="F43" i="18"/>
  <c r="I41" i="18"/>
  <c r="F41" i="18"/>
  <c r="H46" i="1" l="1"/>
  <c r="F37" i="18"/>
  <c r="F36" i="18"/>
  <c r="I36" i="18"/>
  <c r="I25" i="18"/>
  <c r="I14" i="18"/>
  <c r="D38" i="18" l="1"/>
  <c r="F14" i="18"/>
  <c r="H40" i="1"/>
  <c r="I37" i="18"/>
  <c r="C39" i="18"/>
  <c r="F22" i="18"/>
  <c r="F21" i="18"/>
  <c r="F17" i="18"/>
  <c r="C19" i="18"/>
  <c r="F16" i="18"/>
  <c r="J40" i="1" l="1"/>
  <c r="D25" i="19" s="1"/>
  <c r="J46" i="1"/>
  <c r="D31" i="19" s="1"/>
  <c r="F38" i="18"/>
  <c r="F39" i="18" s="1"/>
  <c r="F47" i="18" s="1"/>
  <c r="L47" i="18" s="1"/>
  <c r="G38" i="18"/>
  <c r="I38" i="18" s="1"/>
  <c r="I39" i="18" s="1"/>
  <c r="I47" i="18" s="1"/>
  <c r="F23" i="18"/>
  <c r="N46" i="1" l="1"/>
  <c r="D18" i="18"/>
  <c r="F18" i="18" s="1"/>
  <c r="F19" i="18" s="1"/>
  <c r="F27" i="18" s="1"/>
  <c r="L46" i="1"/>
  <c r="E31" i="19" s="1"/>
  <c r="I31" i="19" s="1"/>
  <c r="L40" i="1" l="1"/>
  <c r="E25" i="19" s="1"/>
  <c r="K31" i="19"/>
  <c r="L48" i="18"/>
  <c r="M47" i="18"/>
  <c r="I22" i="18"/>
  <c r="I21" i="18" l="1"/>
  <c r="I23" i="18" s="1"/>
  <c r="G18" i="18" s="1"/>
  <c r="I17" i="18" l="1"/>
  <c r="I16" i="18"/>
  <c r="H37" i="1" l="1"/>
  <c r="E26" i="15"/>
  <c r="E25" i="15"/>
  <c r="H36" i="1"/>
  <c r="C19" i="15" l="1"/>
  <c r="C35" i="15"/>
  <c r="D33" i="15"/>
  <c r="F33" i="15" s="1"/>
  <c r="F37" i="15"/>
  <c r="D25" i="15"/>
  <c r="F32" i="15"/>
  <c r="J37" i="1" l="1"/>
  <c r="J36" i="1"/>
  <c r="D34" i="15"/>
  <c r="F34" i="15" l="1"/>
  <c r="F35" i="15" s="1"/>
  <c r="F39" i="15" s="1"/>
  <c r="L37" i="1" l="1"/>
  <c r="H72" i="16"/>
  <c r="E72" i="16" s="1"/>
  <c r="J144" i="30" s="1"/>
  <c r="F16" i="15"/>
  <c r="H28" i="1"/>
  <c r="C18" i="14"/>
  <c r="H29" i="1"/>
  <c r="C40" i="14"/>
  <c r="F41" i="14"/>
  <c r="F56" i="14"/>
  <c r="C59" i="14"/>
  <c r="F41" i="13"/>
  <c r="F45" i="13"/>
  <c r="C58" i="13"/>
  <c r="F59" i="13"/>
  <c r="F55" i="13"/>
  <c r="F57" i="13"/>
  <c r="F58" i="13" s="1"/>
  <c r="F64" i="13"/>
  <c r="D91" i="13"/>
  <c r="D92" i="13" s="1"/>
  <c r="F67" i="13"/>
  <c r="C92" i="13"/>
  <c r="D86" i="13"/>
  <c r="D87" i="13"/>
  <c r="C81" i="13"/>
  <c r="C84" i="13" s="1"/>
  <c r="D79" i="13"/>
  <c r="D75" i="13"/>
  <c r="L100" i="13"/>
  <c r="L101" i="13" s="1"/>
  <c r="I82" i="13"/>
  <c r="G34" i="2"/>
  <c r="C14" i="2"/>
  <c r="C15" i="2"/>
  <c r="F15" i="2" s="1"/>
  <c r="P46" i="1"/>
  <c r="V46" i="1" s="1"/>
  <c r="J38" i="1"/>
  <c r="D23" i="19" s="1"/>
  <c r="H38" i="1"/>
  <c r="S46" i="1"/>
  <c r="B18" i="1"/>
  <c r="B21" i="1" s="1"/>
  <c r="C22" i="2"/>
  <c r="F144" i="30" l="1"/>
  <c r="H30" i="1"/>
  <c r="H31" i="1" s="1"/>
  <c r="C122" i="13"/>
  <c r="F63" i="13"/>
  <c r="F65" i="13" s="1"/>
  <c r="D60" i="13" s="1"/>
  <c r="F60" i="13" s="1"/>
  <c r="F61" i="13" s="1"/>
  <c r="C80" i="13"/>
  <c r="F58" i="14"/>
  <c r="F59" i="14" s="1"/>
  <c r="F87" i="13"/>
  <c r="C37" i="16"/>
  <c r="D82" i="13"/>
  <c r="F82" i="13" s="1"/>
  <c r="I38" i="2"/>
  <c r="C21" i="2"/>
  <c r="I14" i="2"/>
  <c r="C16" i="2"/>
  <c r="F14" i="2"/>
  <c r="F16" i="2" s="1"/>
  <c r="C47" i="14"/>
  <c r="G35" i="16"/>
  <c r="G22" i="16"/>
  <c r="G17" i="16"/>
  <c r="C18" i="16"/>
  <c r="B22" i="1"/>
  <c r="Q46" i="1"/>
  <c r="F111" i="13"/>
  <c r="F106" i="13"/>
  <c r="G24" i="16"/>
  <c r="G16" i="16"/>
  <c r="F23" i="14"/>
  <c r="G15" i="16"/>
  <c r="G31" i="16"/>
  <c r="C32" i="16"/>
  <c r="F19" i="13"/>
  <c r="F116" i="13"/>
  <c r="C65" i="13"/>
  <c r="F31" i="13"/>
  <c r="F121" i="13"/>
  <c r="F39" i="14"/>
  <c r="F40" i="14" s="1"/>
  <c r="F27" i="14"/>
  <c r="F24" i="14"/>
  <c r="G36" i="16"/>
  <c r="C23" i="16"/>
  <c r="C27" i="16" s="1"/>
  <c r="D51" i="16"/>
  <c r="D55" i="16"/>
  <c r="D52" i="16"/>
  <c r="F29" i="2"/>
  <c r="F79" i="13"/>
  <c r="C88" i="13"/>
  <c r="F88" i="13" s="1"/>
  <c r="F92" i="13"/>
  <c r="F124" i="13"/>
  <c r="F69" i="14"/>
  <c r="F64" i="14"/>
  <c r="F65" i="14" s="1"/>
  <c r="F49" i="14"/>
  <c r="F46" i="14"/>
  <c r="F45" i="14"/>
  <c r="F23" i="13"/>
  <c r="C21" i="14"/>
  <c r="I29" i="2"/>
  <c r="F30" i="2"/>
  <c r="F15" i="13"/>
  <c r="H22" i="1"/>
  <c r="C25" i="14"/>
  <c r="C61" i="13"/>
  <c r="F91" i="13"/>
  <c r="F34" i="13"/>
  <c r="F115" i="13"/>
  <c r="F113" i="13"/>
  <c r="F112" i="13"/>
  <c r="C65" i="14"/>
  <c r="D60" i="14"/>
  <c r="F60" i="14" s="1"/>
  <c r="F17" i="14"/>
  <c r="F18" i="14" s="1"/>
  <c r="F15" i="14"/>
  <c r="G30" i="16"/>
  <c r="C17" i="13"/>
  <c r="F16" i="13"/>
  <c r="C62" i="14"/>
  <c r="I151" i="30"/>
  <c r="I148" i="30"/>
  <c r="I146" i="30"/>
  <c r="I144" i="30"/>
  <c r="I142" i="30"/>
  <c r="I140" i="30"/>
  <c r="I138" i="30"/>
  <c r="C79" i="16"/>
  <c r="H151" i="30" s="1"/>
  <c r="C78" i="16"/>
  <c r="H150" i="30" s="1"/>
  <c r="C77" i="16"/>
  <c r="H149" i="30" s="1"/>
  <c r="C76" i="16"/>
  <c r="H148" i="30" s="1"/>
  <c r="C75" i="16"/>
  <c r="H147" i="30" s="1"/>
  <c r="C74" i="16"/>
  <c r="H146" i="30" s="1"/>
  <c r="C73" i="16"/>
  <c r="H145" i="30" s="1"/>
  <c r="C72" i="16"/>
  <c r="H144" i="30" s="1"/>
  <c r="C71" i="16"/>
  <c r="H143" i="30" s="1"/>
  <c r="C70" i="16"/>
  <c r="H142" i="30" s="1"/>
  <c r="C69" i="16"/>
  <c r="H141" i="30" s="1"/>
  <c r="C68" i="16"/>
  <c r="H140" i="30" s="1"/>
  <c r="C67" i="16"/>
  <c r="H139" i="30" s="1"/>
  <c r="C66" i="16"/>
  <c r="H138" i="30" s="1"/>
  <c r="I150" i="30"/>
  <c r="I149" i="30"/>
  <c r="I147" i="30"/>
  <c r="I145" i="30"/>
  <c r="I143" i="30"/>
  <c r="I141" i="30"/>
  <c r="I139" i="30"/>
  <c r="F37" i="13"/>
  <c r="C36" i="13"/>
  <c r="C39" i="13" s="1"/>
  <c r="F120" i="13"/>
  <c r="F110" i="13"/>
  <c r="F37" i="14"/>
  <c r="F19" i="14"/>
  <c r="G25" i="16"/>
  <c r="F17" i="15"/>
  <c r="F38" i="2"/>
  <c r="C114" i="13"/>
  <c r="C118" i="13" s="1"/>
  <c r="C43" i="14"/>
  <c r="C31" i="2"/>
  <c r="H23" i="1"/>
  <c r="F42" i="13"/>
  <c r="F43" i="13" s="1"/>
  <c r="C43" i="13"/>
  <c r="F33" i="13"/>
  <c r="F107" i="13"/>
  <c r="C108" i="13"/>
  <c r="F20" i="13"/>
  <c r="C21" i="13"/>
  <c r="C25" i="13" s="1"/>
  <c r="F22" i="13"/>
  <c r="F75" i="13"/>
  <c r="C76" i="13"/>
  <c r="F76" i="13" s="1"/>
  <c r="F86" i="13"/>
  <c r="C89" i="13"/>
  <c r="F35" i="13"/>
  <c r="G21" i="16"/>
  <c r="J28" i="1" l="1"/>
  <c r="J21" i="1"/>
  <c r="D11" i="19" s="1"/>
  <c r="H17" i="1"/>
  <c r="H18" i="1" s="1"/>
  <c r="J30" i="1"/>
  <c r="D18" i="19" s="1"/>
  <c r="J29" i="1"/>
  <c r="J23" i="1"/>
  <c r="D13" i="19" s="1"/>
  <c r="H24" i="1"/>
  <c r="J24" i="1"/>
  <c r="J22" i="1"/>
  <c r="H21" i="1"/>
  <c r="J33" i="1"/>
  <c r="D21" i="19" s="1"/>
  <c r="H33" i="1"/>
  <c r="F122" i="13"/>
  <c r="G37" i="16"/>
  <c r="G32" i="16"/>
  <c r="F93" i="13"/>
  <c r="F21" i="13"/>
  <c r="G23" i="16"/>
  <c r="F47" i="14"/>
  <c r="D42" i="14" s="1"/>
  <c r="F42" i="14" s="1"/>
  <c r="F43" i="14" s="1"/>
  <c r="F51" i="14" s="1"/>
  <c r="G18" i="16"/>
  <c r="F21" i="2"/>
  <c r="G15" i="2"/>
  <c r="I15" i="2" s="1"/>
  <c r="I16" i="2" s="1"/>
  <c r="F108" i="13"/>
  <c r="B23" i="1"/>
  <c r="B24" i="1" s="1"/>
  <c r="F25" i="14"/>
  <c r="D20" i="14" s="1"/>
  <c r="F20" i="14" s="1"/>
  <c r="F21" i="14" s="1"/>
  <c r="F29" i="14" s="1"/>
  <c r="F89" i="13"/>
  <c r="D61" i="14"/>
  <c r="F61" i="14" s="1"/>
  <c r="F62" i="14" s="1"/>
  <c r="F71" i="14" s="1"/>
  <c r="F114" i="13"/>
  <c r="F31" i="2"/>
  <c r="G30" i="2"/>
  <c r="D56" i="16"/>
  <c r="D57" i="16"/>
  <c r="F17" i="13"/>
  <c r="F36" i="13"/>
  <c r="D38" i="13" s="1"/>
  <c r="F69" i="13"/>
  <c r="F77" i="13"/>
  <c r="D12" i="19" l="1"/>
  <c r="D14" i="19" s="1"/>
  <c r="D17" i="19"/>
  <c r="D19" i="19" s="1"/>
  <c r="J25" i="1"/>
  <c r="L29" i="1"/>
  <c r="H25" i="1"/>
  <c r="H44" i="1" s="1"/>
  <c r="H48" i="1" s="1"/>
  <c r="J31" i="1"/>
  <c r="E26" i="16"/>
  <c r="D24" i="13"/>
  <c r="F24" i="13" s="1"/>
  <c r="F25" i="13" s="1"/>
  <c r="F38" i="13"/>
  <c r="F39" i="13" s="1"/>
  <c r="F47" i="13" s="1"/>
  <c r="D117" i="13"/>
  <c r="F117" i="13" s="1"/>
  <c r="F118" i="13" s="1"/>
  <c r="F126" i="13" s="1"/>
  <c r="I30" i="2"/>
  <c r="I31" i="2" s="1"/>
  <c r="F9" i="30"/>
  <c r="B25" i="1"/>
  <c r="L28" i="1"/>
  <c r="L30" i="1"/>
  <c r="E18" i="19" s="1"/>
  <c r="E17" i="19" l="1"/>
  <c r="E19" i="19" s="1"/>
  <c r="L22" i="1"/>
  <c r="L21" i="1"/>
  <c r="E11" i="19" s="1"/>
  <c r="G26" i="16"/>
  <c r="G27" i="16" s="1"/>
  <c r="G41" i="16" s="1"/>
  <c r="B28" i="1"/>
  <c r="L24" i="1"/>
  <c r="L31" i="1"/>
  <c r="L33" i="1" l="1"/>
  <c r="E21" i="19" s="1"/>
  <c r="K21" i="19" s="1"/>
  <c r="J43" i="16" s="1"/>
  <c r="J45" i="16" s="1"/>
  <c r="E12" i="19"/>
  <c r="B29" i="1"/>
  <c r="I21" i="19" l="1"/>
  <c r="B30" i="1"/>
  <c r="B31" i="1" l="1"/>
  <c r="B33" i="1" s="1"/>
  <c r="B36" i="1" l="1"/>
  <c r="B37" i="1" s="1"/>
  <c r="B38" i="1" s="1"/>
  <c r="B40" i="1" s="1"/>
  <c r="B42" i="1" l="1"/>
  <c r="B44" i="1" s="1"/>
  <c r="B46" i="1"/>
  <c r="B48" i="1" s="1"/>
  <c r="I18" i="18" l="1"/>
  <c r="I19" i="18" s="1"/>
  <c r="I27" i="18" s="1"/>
  <c r="L27" i="18" l="1"/>
  <c r="M27" i="18" s="1"/>
  <c r="N40" i="1"/>
  <c r="J25" i="19"/>
  <c r="L28" i="18" l="1"/>
  <c r="M25" i="19"/>
  <c r="U40" i="1"/>
  <c r="I25" i="19"/>
  <c r="P40" i="1"/>
  <c r="S40" i="1"/>
  <c r="K25" i="19"/>
  <c r="V40" i="1" l="1"/>
  <c r="Q40" i="1"/>
  <c r="D80" i="13" l="1"/>
  <c r="F80" i="13" s="1"/>
  <c r="F81" i="13" s="1"/>
  <c r="D83" i="13" l="1"/>
  <c r="F83" i="13" s="1"/>
  <c r="F84" i="13" s="1"/>
  <c r="F95" i="13" s="1"/>
  <c r="L23" i="1" l="1"/>
  <c r="L25" i="1" s="1"/>
  <c r="E13" i="19" l="1"/>
  <c r="E14" i="19" s="1"/>
  <c r="D21" i="15"/>
  <c r="D26" i="15" l="1"/>
  <c r="F21" i="15"/>
  <c r="D18" i="15" l="1"/>
  <c r="F18" i="15" s="1"/>
  <c r="F19" i="15" s="1"/>
  <c r="F23" i="15" s="1"/>
  <c r="L36" i="1" l="1"/>
  <c r="L38" i="1" s="1"/>
  <c r="E23" i="19" s="1"/>
  <c r="F22" i="17" l="1"/>
  <c r="L42" i="1" l="1"/>
  <c r="E27" i="19" s="1"/>
  <c r="F33" i="2" l="1"/>
  <c r="C18" i="2"/>
  <c r="I33" i="2"/>
  <c r="F18" i="2" l="1"/>
  <c r="I18" i="2"/>
  <c r="I36" i="2" l="1"/>
  <c r="F36" i="2"/>
  <c r="F35" i="2"/>
  <c r="I35" i="2"/>
  <c r="F34" i="2" l="1"/>
  <c r="F37" i="2" s="1"/>
  <c r="I34" i="2"/>
  <c r="I37" i="2" s="1"/>
  <c r="C19" i="2"/>
  <c r="C37" i="2"/>
  <c r="C40" i="2" s="1"/>
  <c r="J17" i="1" l="1"/>
  <c r="J18" i="1" s="1"/>
  <c r="J44" i="1" s="1"/>
  <c r="J48" i="1" s="1"/>
  <c r="J51" i="1" s="1"/>
  <c r="G39" i="2"/>
  <c r="I39" i="2" s="1"/>
  <c r="I40" i="2" s="1"/>
  <c r="F19" i="2"/>
  <c r="C20" i="2"/>
  <c r="C23" i="2" s="1"/>
  <c r="D39" i="2"/>
  <c r="F39" i="2" s="1"/>
  <c r="F40" i="2" s="1"/>
  <c r="D8" i="19" l="1"/>
  <c r="D29" i="19" s="1"/>
  <c r="D33" i="19" s="1"/>
  <c r="F20" i="2"/>
  <c r="D22" i="2" s="1"/>
  <c r="F22" i="2" s="1"/>
  <c r="F23" i="2" s="1"/>
  <c r="G19" i="2"/>
  <c r="L17" i="1" l="1"/>
  <c r="E8" i="19" s="1"/>
  <c r="E29" i="19" s="1"/>
  <c r="E33" i="19" s="1"/>
  <c r="G21" i="2"/>
  <c r="I21" i="2" s="1"/>
  <c r="F12" i="30"/>
  <c r="I19" i="2"/>
  <c r="I20" i="2" s="1"/>
  <c r="L18" i="1" l="1"/>
  <c r="L44" i="1" s="1"/>
  <c r="L48" i="1" s="1"/>
  <c r="L51" i="1" s="1"/>
  <c r="I36" i="19"/>
  <c r="I37" i="19"/>
  <c r="G22" i="2"/>
  <c r="I22" i="2" s="1"/>
  <c r="I23" i="2" s="1"/>
  <c r="G27" i="19"/>
  <c r="G11" i="19"/>
  <c r="G13" i="19"/>
  <c r="G18" i="19"/>
  <c r="G17" i="19"/>
  <c r="G12" i="19"/>
  <c r="I33" i="19"/>
  <c r="G23" i="19"/>
  <c r="G8" i="19"/>
  <c r="N17" i="1" l="1"/>
  <c r="N18" i="1" s="1"/>
  <c r="S18" i="1" s="1"/>
  <c r="I38" i="19"/>
  <c r="I39" i="19" s="1"/>
  <c r="G33" i="19"/>
  <c r="P17" i="1" l="1"/>
  <c r="P18" i="1" s="1"/>
  <c r="Q18" i="1" s="1"/>
  <c r="S17" i="1"/>
  <c r="I13" i="19"/>
  <c r="J13" i="19" s="1"/>
  <c r="I17" i="19"/>
  <c r="J17" i="19" s="1"/>
  <c r="M17" i="19" s="1"/>
  <c r="I8" i="19"/>
  <c r="J8" i="19" s="1"/>
  <c r="I27" i="19"/>
  <c r="I12" i="19"/>
  <c r="J12" i="19" s="1"/>
  <c r="I11" i="19"/>
  <c r="J11" i="19" s="1"/>
  <c r="M11" i="19" s="1"/>
  <c r="I18" i="19"/>
  <c r="J18" i="19" s="1"/>
  <c r="I23" i="19"/>
  <c r="J23" i="19" s="1"/>
  <c r="Q17" i="1" l="1"/>
  <c r="M8" i="19"/>
  <c r="M23" i="19"/>
  <c r="K18" i="19"/>
  <c r="L73" i="14" s="1"/>
  <c r="M73" i="14" s="1"/>
  <c r="G61" i="14" s="1"/>
  <c r="M18" i="19"/>
  <c r="K12" i="19"/>
  <c r="L47" i="13" s="1"/>
  <c r="M47" i="13" s="1"/>
  <c r="G33" i="13" s="1"/>
  <c r="M12" i="19"/>
  <c r="K13" i="19"/>
  <c r="L71" i="13" s="1"/>
  <c r="M71" i="13" s="1"/>
  <c r="G67" i="13" s="1"/>
  <c r="M13" i="19"/>
  <c r="J27" i="19"/>
  <c r="U18" i="1"/>
  <c r="V18" i="1" s="1"/>
  <c r="K8" i="19"/>
  <c r="K23" i="19"/>
  <c r="L39" i="15" s="1"/>
  <c r="U38" i="1"/>
  <c r="J14" i="19"/>
  <c r="K11" i="19"/>
  <c r="K17" i="19"/>
  <c r="J19" i="19"/>
  <c r="G55" i="13" l="1"/>
  <c r="U25" i="1"/>
  <c r="M14" i="19"/>
  <c r="U42" i="1"/>
  <c r="M27" i="19"/>
  <c r="U31" i="1"/>
  <c r="M19" i="19"/>
  <c r="K27" i="19"/>
  <c r="K19" i="19"/>
  <c r="L31" i="14"/>
  <c r="L23" i="2"/>
  <c r="L40" i="2"/>
  <c r="L25" i="13"/>
  <c r="K14" i="19"/>
  <c r="G45" i="13"/>
  <c r="G42" i="13"/>
  <c r="G106" i="13"/>
  <c r="G34" i="13"/>
  <c r="G121" i="13"/>
  <c r="G124" i="13"/>
  <c r="G110" i="13"/>
  <c r="G112" i="13"/>
  <c r="G41" i="13"/>
  <c r="G107" i="13"/>
  <c r="G111" i="13"/>
  <c r="G35" i="13"/>
  <c r="G113" i="13"/>
  <c r="G31" i="13"/>
  <c r="G120" i="13"/>
  <c r="G91" i="13"/>
  <c r="I91" i="13" s="1"/>
  <c r="F42" i="30"/>
  <c r="F52" i="30" s="1"/>
  <c r="I67" i="13"/>
  <c r="H35" i="16"/>
  <c r="M101" i="13"/>
  <c r="G92" i="13" s="1"/>
  <c r="I92" i="13" s="1"/>
  <c r="J29" i="19"/>
  <c r="M39" i="15"/>
  <c r="G32" i="15" s="1"/>
  <c r="I20" i="17" l="1"/>
  <c r="I16" i="17"/>
  <c r="I19" i="17"/>
  <c r="I18" i="17"/>
  <c r="I14" i="17"/>
  <c r="I17" i="17"/>
  <c r="I13" i="17"/>
  <c r="I15" i="17"/>
  <c r="F35" i="30"/>
  <c r="G75" i="13"/>
  <c r="I75" i="13" s="1"/>
  <c r="I55" i="13"/>
  <c r="H16" i="16"/>
  <c r="U44" i="1"/>
  <c r="U48" i="1" s="1"/>
  <c r="I29" i="19"/>
  <c r="M29" i="19"/>
  <c r="H15" i="16"/>
  <c r="F22" i="30"/>
  <c r="I31" i="13"/>
  <c r="I124" i="13"/>
  <c r="F67" i="30"/>
  <c r="I93" i="13"/>
  <c r="I113" i="13"/>
  <c r="F61" i="30"/>
  <c r="G116" i="13"/>
  <c r="I116" i="13" s="1"/>
  <c r="I41" i="13"/>
  <c r="F29" i="30"/>
  <c r="I33" i="13"/>
  <c r="F24" i="30"/>
  <c r="F30" i="30"/>
  <c r="I42" i="13"/>
  <c r="M23" i="2"/>
  <c r="L24" i="2"/>
  <c r="I106" i="13"/>
  <c r="F55" i="30"/>
  <c r="L41" i="2"/>
  <c r="M40" i="2"/>
  <c r="G21" i="15"/>
  <c r="G37" i="15"/>
  <c r="J33" i="19"/>
  <c r="M33" i="19" s="1"/>
  <c r="F119" i="30"/>
  <c r="J35" i="16"/>
  <c r="G37" i="13"/>
  <c r="I37" i="13" s="1"/>
  <c r="F26" i="30"/>
  <c r="I35" i="13"/>
  <c r="F60" i="30"/>
  <c r="I112" i="13"/>
  <c r="I121" i="13"/>
  <c r="F65" i="30"/>
  <c r="F32" i="30"/>
  <c r="I45" i="13"/>
  <c r="M31" i="14"/>
  <c r="G17" i="14" s="1"/>
  <c r="G57" i="13" s="1"/>
  <c r="F56" i="30"/>
  <c r="I107" i="13"/>
  <c r="I120" i="13"/>
  <c r="F64" i="30"/>
  <c r="G115" i="13"/>
  <c r="I115" i="13" s="1"/>
  <c r="F59" i="30"/>
  <c r="I111" i="13"/>
  <c r="I110" i="13"/>
  <c r="F58" i="30"/>
  <c r="I34" i="13"/>
  <c r="F25" i="30"/>
  <c r="M25" i="13"/>
  <c r="G19" i="13" s="1"/>
  <c r="K29" i="19"/>
  <c r="K33" i="19" s="1"/>
  <c r="I22" i="17" l="1"/>
  <c r="N42" i="1" s="1"/>
  <c r="P42" i="1" s="1"/>
  <c r="V42" i="1" s="1"/>
  <c r="J16" i="16"/>
  <c r="F104" i="30"/>
  <c r="I122" i="13"/>
  <c r="I37" i="15"/>
  <c r="F164" i="30"/>
  <c r="E55" i="16"/>
  <c r="I21" i="15"/>
  <c r="G26" i="15"/>
  <c r="F158" i="30" s="1"/>
  <c r="F156" i="30"/>
  <c r="I108" i="13"/>
  <c r="G20" i="13"/>
  <c r="G15" i="13"/>
  <c r="G16" i="13"/>
  <c r="I114" i="13"/>
  <c r="G39" i="14"/>
  <c r="G69" i="14"/>
  <c r="G20" i="14"/>
  <c r="I20" i="14" s="1"/>
  <c r="G64" i="14"/>
  <c r="G15" i="14"/>
  <c r="G45" i="14"/>
  <c r="G49" i="14"/>
  <c r="I61" i="14"/>
  <c r="G42" i="14"/>
  <c r="I42" i="14" s="1"/>
  <c r="G46" i="14"/>
  <c r="G23" i="14"/>
  <c r="G24" i="14"/>
  <c r="G27" i="14"/>
  <c r="G33" i="15"/>
  <c r="I33" i="15" s="1"/>
  <c r="F162" i="30"/>
  <c r="E59" i="16"/>
  <c r="G16" i="15"/>
  <c r="I32" i="15"/>
  <c r="I36" i="13"/>
  <c r="I43" i="13"/>
  <c r="J15" i="16"/>
  <c r="F103" i="30"/>
  <c r="S42" i="1" l="1"/>
  <c r="Q42" i="1"/>
  <c r="G34" i="15"/>
  <c r="I34" i="15" s="1"/>
  <c r="I35" i="15" s="1"/>
  <c r="I39" i="15" s="1"/>
  <c r="G38" i="13"/>
  <c r="I38" i="13" s="1"/>
  <c r="I39" i="13" s="1"/>
  <c r="I47" i="13" s="1"/>
  <c r="F87" i="30"/>
  <c r="I49" i="14"/>
  <c r="I27" i="14"/>
  <c r="H36" i="16"/>
  <c r="F77" i="30"/>
  <c r="F85" i="30"/>
  <c r="I46" i="14"/>
  <c r="G23" i="13"/>
  <c r="I23" i="13" s="1"/>
  <c r="F19" i="30"/>
  <c r="I20" i="13"/>
  <c r="E56" i="16"/>
  <c r="G56" i="16" s="1"/>
  <c r="H31" i="16" s="1"/>
  <c r="G55" i="16"/>
  <c r="E57" i="16"/>
  <c r="G57" i="16" s="1"/>
  <c r="H30" i="16" s="1"/>
  <c r="F84" i="30"/>
  <c r="I45" i="14"/>
  <c r="I69" i="14"/>
  <c r="F98" i="30"/>
  <c r="F18" i="30"/>
  <c r="I19" i="13"/>
  <c r="G22" i="13"/>
  <c r="I22" i="13" s="1"/>
  <c r="F74" i="30"/>
  <c r="G63" i="13"/>
  <c r="I23" i="14"/>
  <c r="G67" i="14"/>
  <c r="F94" i="30"/>
  <c r="I64" i="14"/>
  <c r="I65" i="14" s="1"/>
  <c r="F15" i="30"/>
  <c r="I15" i="13"/>
  <c r="G117" i="13"/>
  <c r="I117" i="13" s="1"/>
  <c r="I118" i="13" s="1"/>
  <c r="I126" i="13" s="1"/>
  <c r="F154" i="30"/>
  <c r="I16" i="15"/>
  <c r="G25" i="15"/>
  <c r="F159" i="30" s="1"/>
  <c r="G17" i="15"/>
  <c r="I17" i="15" s="1"/>
  <c r="G59" i="16"/>
  <c r="G60" i="16"/>
  <c r="H22" i="16" s="1"/>
  <c r="G61" i="16"/>
  <c r="H21" i="16" s="1"/>
  <c r="F72" i="30"/>
  <c r="G19" i="14"/>
  <c r="I19" i="14" s="1"/>
  <c r="I17" i="14"/>
  <c r="I18" i="14" s="1"/>
  <c r="G64" i="13"/>
  <c r="F75" i="30"/>
  <c r="I24" i="14"/>
  <c r="G56" i="14"/>
  <c r="L98" i="13"/>
  <c r="G76" i="13" s="1"/>
  <c r="G37" i="14"/>
  <c r="I15" i="14"/>
  <c r="H17" i="16"/>
  <c r="F70" i="30"/>
  <c r="G41" i="14"/>
  <c r="I41" i="14" s="1"/>
  <c r="F82" i="30"/>
  <c r="I39" i="14"/>
  <c r="I40" i="14" s="1"/>
  <c r="F16" i="30"/>
  <c r="I16" i="13"/>
  <c r="N37" i="1" l="1"/>
  <c r="P37" i="1" s="1"/>
  <c r="Q37" i="1" s="1"/>
  <c r="N22" i="1"/>
  <c r="S22" i="1" s="1"/>
  <c r="F116" i="30"/>
  <c r="I21" i="13"/>
  <c r="I37" i="14"/>
  <c r="F80" i="30"/>
  <c r="F110" i="30"/>
  <c r="J22" i="16"/>
  <c r="H25" i="16"/>
  <c r="F96" i="30"/>
  <c r="I67" i="14"/>
  <c r="I43" i="14"/>
  <c r="F45" i="30"/>
  <c r="F48" i="30" s="1"/>
  <c r="I76" i="13"/>
  <c r="I77" i="13" s="1"/>
  <c r="F111" i="30"/>
  <c r="G18" i="15"/>
  <c r="I18" i="15" s="1"/>
  <c r="I19" i="15" s="1"/>
  <c r="I23" i="15" s="1"/>
  <c r="I25" i="14"/>
  <c r="F114" i="30"/>
  <c r="F105" i="30"/>
  <c r="J17" i="16"/>
  <c r="J18" i="16" s="1"/>
  <c r="F90" i="30"/>
  <c r="I56" i="14"/>
  <c r="G58" i="14" s="1"/>
  <c r="G87" i="13"/>
  <c r="I87" i="13" s="1"/>
  <c r="F40" i="30"/>
  <c r="I64" i="13"/>
  <c r="I21" i="14"/>
  <c r="G79" i="13"/>
  <c r="I79" i="13" s="1"/>
  <c r="G59" i="13"/>
  <c r="I59" i="13" s="1"/>
  <c r="F37" i="30"/>
  <c r="F51" i="30" s="1"/>
  <c r="I57" i="13"/>
  <c r="I58" i="13" s="1"/>
  <c r="M100" i="13"/>
  <c r="G80" i="13" s="1"/>
  <c r="I80" i="13" s="1"/>
  <c r="I17" i="13"/>
  <c r="G86" i="13"/>
  <c r="I86" i="13" s="1"/>
  <c r="F39" i="30"/>
  <c r="I63" i="13"/>
  <c r="J21" i="16"/>
  <c r="H24" i="16"/>
  <c r="F108" i="30"/>
  <c r="N24" i="1"/>
  <c r="L48" i="13"/>
  <c r="I47" i="14"/>
  <c r="F115" i="30"/>
  <c r="F120" i="30"/>
  <c r="J36" i="16"/>
  <c r="J37" i="16" s="1"/>
  <c r="J24" i="16" l="1"/>
  <c r="F109" i="30"/>
  <c r="J25" i="16"/>
  <c r="S37" i="1"/>
  <c r="P22" i="1"/>
  <c r="Q22" i="1" s="1"/>
  <c r="G24" i="13"/>
  <c r="I24" i="13" s="1"/>
  <c r="I25" i="13" s="1"/>
  <c r="I29" i="14"/>
  <c r="I81" i="13"/>
  <c r="I65" i="13"/>
  <c r="M99" i="13" s="1"/>
  <c r="G88" i="13" s="1"/>
  <c r="I88" i="13" s="1"/>
  <c r="I89" i="13" s="1"/>
  <c r="J23" i="16"/>
  <c r="I51" i="14"/>
  <c r="P24" i="1"/>
  <c r="Q24" i="1" s="1"/>
  <c r="S24" i="1"/>
  <c r="I58" i="14"/>
  <c r="I59" i="14" s="1"/>
  <c r="F92" i="30"/>
  <c r="G60" i="14"/>
  <c r="I60" i="14" s="1"/>
  <c r="N36" i="1"/>
  <c r="L40" i="15"/>
  <c r="N29" i="1" l="1"/>
  <c r="P29" i="1" s="1"/>
  <c r="Q29" i="1" s="1"/>
  <c r="N21" i="1"/>
  <c r="P21" i="1" s="1"/>
  <c r="N28" i="1"/>
  <c r="S28" i="1" s="1"/>
  <c r="F46" i="30"/>
  <c r="F50" i="30" s="1"/>
  <c r="L26" i="13"/>
  <c r="G60" i="13"/>
  <c r="I60" i="13" s="1"/>
  <c r="I61" i="13" s="1"/>
  <c r="I69" i="13" s="1"/>
  <c r="G83" i="13"/>
  <c r="I83" i="13" s="1"/>
  <c r="I84" i="13" s="1"/>
  <c r="I95" i="13" s="1"/>
  <c r="L32" i="14"/>
  <c r="I62" i="14"/>
  <c r="I71" i="14" s="1"/>
  <c r="S36" i="1"/>
  <c r="P36" i="1"/>
  <c r="N38" i="1"/>
  <c r="P28" i="1" l="1"/>
  <c r="Q28" i="1" s="1"/>
  <c r="S21" i="1"/>
  <c r="S29" i="1"/>
  <c r="L74" i="14"/>
  <c r="F49" i="30"/>
  <c r="L72" i="13"/>
  <c r="N23" i="1"/>
  <c r="N30" i="1"/>
  <c r="N31" i="1" s="1"/>
  <c r="S31" i="1" s="1"/>
  <c r="S38" i="1"/>
  <c r="Q21" i="1"/>
  <c r="Q36" i="1"/>
  <c r="P38" i="1"/>
  <c r="S30" i="1" l="1"/>
  <c r="P23" i="1"/>
  <c r="N25" i="1"/>
  <c r="S25" i="1" s="1"/>
  <c r="S23" i="1"/>
  <c r="P30" i="1"/>
  <c r="Q30" i="1" s="1"/>
  <c r="V38" i="1"/>
  <c r="Q38" i="1"/>
  <c r="Q23" i="1" l="1"/>
  <c r="P25" i="1"/>
  <c r="P31" i="1"/>
  <c r="V25" i="1" l="1"/>
  <c r="Q25" i="1"/>
  <c r="Q31" i="1"/>
  <c r="V31" i="1"/>
  <c r="J31" i="16" l="1"/>
  <c r="D32" i="16" l="1"/>
  <c r="J30" i="16"/>
  <c r="J32" i="16" s="1"/>
  <c r="H68" i="16" l="1"/>
  <c r="F140" i="30" l="1"/>
  <c r="E68" i="16"/>
  <c r="J140" i="30" s="1"/>
  <c r="H76" i="16"/>
  <c r="H77" i="16"/>
  <c r="H74" i="16"/>
  <c r="H71" i="16"/>
  <c r="H70" i="16"/>
  <c r="H79" i="16"/>
  <c r="H73" i="16"/>
  <c r="H75" i="16"/>
  <c r="H69" i="16"/>
  <c r="H67" i="16"/>
  <c r="H78" i="16"/>
  <c r="H66" i="16"/>
  <c r="E78" i="16" l="1"/>
  <c r="J150" i="30" s="1"/>
  <c r="F150" i="30"/>
  <c r="E69" i="16"/>
  <c r="J141" i="30" s="1"/>
  <c r="F141" i="30"/>
  <c r="F145" i="30"/>
  <c r="E73" i="16"/>
  <c r="J145" i="30" s="1"/>
  <c r="E70" i="16"/>
  <c r="J142" i="30" s="1"/>
  <c r="F142" i="30"/>
  <c r="F146" i="30"/>
  <c r="E74" i="16"/>
  <c r="J146" i="30" s="1"/>
  <c r="F148" i="30"/>
  <c r="E76" i="16"/>
  <c r="J148" i="30" s="1"/>
  <c r="F138" i="30"/>
  <c r="E66" i="16"/>
  <c r="J138" i="30" s="1"/>
  <c r="F139" i="30"/>
  <c r="E67" i="16"/>
  <c r="J139" i="30" s="1"/>
  <c r="E75" i="16"/>
  <c r="J147" i="30" s="1"/>
  <c r="F147" i="30"/>
  <c r="E79" i="16"/>
  <c r="J151" i="30" s="1"/>
  <c r="F151" i="30"/>
  <c r="E71" i="16"/>
  <c r="J143" i="30" s="1"/>
  <c r="F143" i="30"/>
  <c r="E77" i="16"/>
  <c r="J149" i="30" s="1"/>
  <c r="F149" i="30"/>
  <c r="H26" i="16" l="1"/>
  <c r="J26" i="16" s="1"/>
  <c r="J27" i="16" s="1"/>
  <c r="J41" i="16" s="1"/>
  <c r="J44" i="16" l="1"/>
  <c r="N33" i="1"/>
  <c r="P33" i="1" l="1"/>
  <c r="N44" i="1"/>
  <c r="S33" i="1"/>
  <c r="N48" i="1" l="1"/>
  <c r="S48" i="1" s="1"/>
  <c r="S44" i="1"/>
  <c r="Q33" i="1"/>
  <c r="V33" i="1"/>
  <c r="P44" i="1"/>
  <c r="Q44" i="1" l="1"/>
  <c r="P48" i="1"/>
  <c r="Q48" i="1" s="1"/>
  <c r="V44" i="1"/>
  <c r="V48" i="1" s="1"/>
</calcChain>
</file>

<file path=xl/sharedStrings.xml><?xml version="1.0" encoding="utf-8"?>
<sst xmlns="http://schemas.openxmlformats.org/spreadsheetml/2006/main" count="840" uniqueCount="401">
  <si>
    <t xml:space="preserve"> </t>
  </si>
  <si>
    <t>TABLE A. PRESENT AND PROPOSED RATES</t>
  </si>
  <si>
    <t>ESTIMATED EFFECT OF PROPOSED BASE RATE INCREASE</t>
  </si>
  <si>
    <t>Present</t>
  </si>
  <si>
    <t>Proposed</t>
  </si>
  <si>
    <t>Base</t>
  </si>
  <si>
    <t>Line</t>
  </si>
  <si>
    <t>Sch.</t>
  </si>
  <si>
    <t>Avg.</t>
  </si>
  <si>
    <t>Revenues</t>
  </si>
  <si>
    <t>Increase</t>
  </si>
  <si>
    <t>Rates</t>
  </si>
  <si>
    <t>No.</t>
  </si>
  <si>
    <t>Description</t>
  </si>
  <si>
    <t>Cust.</t>
  </si>
  <si>
    <t>MWH</t>
  </si>
  <si>
    <t>($000)</t>
  </si>
  <si>
    <t>%</t>
  </si>
  <si>
    <t>(cents/kWh)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</si>
  <si>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</si>
  <si>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</si>
  <si>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</si>
  <si>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</si>
  <si>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</si>
  <si>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</si>
  <si>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</si>
  <si>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</si>
  <si>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</si>
  <si>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(7)/(5)</t>
  </si>
  <si>
    <t>(6/4)</t>
  </si>
  <si>
    <t>Residential Service</t>
  </si>
  <si>
    <t>(Including Effects of Unbilled Revenue, Unbilled MWh and Weather Normalization)</t>
  </si>
  <si>
    <t>Units</t>
  </si>
  <si>
    <t>Actual</t>
  </si>
  <si>
    <t>Price</t>
  </si>
  <si>
    <t>Dollars</t>
  </si>
  <si>
    <t>Subtotal</t>
  </si>
  <si>
    <t>Total</t>
  </si>
  <si>
    <t>Target Dollars</t>
  </si>
  <si>
    <t>Difference</t>
  </si>
  <si>
    <t xml:space="preserve">  Total</t>
  </si>
  <si>
    <t xml:space="preserve">  Single Phase</t>
  </si>
  <si>
    <t xml:space="preserve">  Three Phase</t>
  </si>
  <si>
    <t>Basic Charge</t>
  </si>
  <si>
    <t>Target</t>
  </si>
  <si>
    <t>Demand Charges</t>
  </si>
  <si>
    <t>Energy Charges</t>
  </si>
  <si>
    <t>SCHEDULE 40</t>
  </si>
  <si>
    <t>SCHEDULE 51</t>
  </si>
  <si>
    <t>SCHEDULE 53</t>
  </si>
  <si>
    <t>SCHEDULE 54</t>
  </si>
  <si>
    <t>kWh</t>
  </si>
  <si>
    <t>All kWh</t>
  </si>
  <si>
    <t>Charge</t>
  </si>
  <si>
    <t>PUGET SOUND ENERGY</t>
  </si>
  <si>
    <t>Small Secondary General Service</t>
  </si>
  <si>
    <t>Secondary General Service</t>
  </si>
  <si>
    <t>Large Secondary General Service</t>
  </si>
  <si>
    <t>Primary General Service</t>
  </si>
  <si>
    <t>Secondary Irrigation &amp; Pumping Service</t>
  </si>
  <si>
    <t>Primary Irrigation &amp; Pumping Service</t>
  </si>
  <si>
    <t>Primary All Electric Schools</t>
  </si>
  <si>
    <t>Campus Rate</t>
  </si>
  <si>
    <t>High Voltage Interruptible Service</t>
  </si>
  <si>
    <t>High Voltage General Service</t>
  </si>
  <si>
    <t>Secondary Voltage Service</t>
  </si>
  <si>
    <t>Primary Voltage Service</t>
  </si>
  <si>
    <t>High Voltage Service</t>
  </si>
  <si>
    <t>8, 24</t>
  </si>
  <si>
    <t>7A, 11, 25</t>
  </si>
  <si>
    <t>12, 26, 26P</t>
  </si>
  <si>
    <t>10, 31</t>
  </si>
  <si>
    <t>Total Residential Service</t>
  </si>
  <si>
    <t>Total Secondary Voltage Service</t>
  </si>
  <si>
    <t>Total Primary Voltage Service</t>
  </si>
  <si>
    <t>(6)-(5)</t>
  </si>
  <si>
    <t>Retail Wheeling Transporation Service</t>
  </si>
  <si>
    <t>449, 459</t>
  </si>
  <si>
    <t>Street and Area Lighting</t>
  </si>
  <si>
    <t>50-59</t>
  </si>
  <si>
    <t>Total Jurisdictional Sales</t>
  </si>
  <si>
    <t>Wholesale for Resale</t>
  </si>
  <si>
    <t xml:space="preserve">Total Sales </t>
  </si>
  <si>
    <t>Temperature Adjustment</t>
  </si>
  <si>
    <t>Next 200 kWh</t>
  </si>
  <si>
    <t>Next 1000 kwh</t>
  </si>
  <si>
    <t>First 600 kWh</t>
  </si>
  <si>
    <t>Over 1800 kWh</t>
  </si>
  <si>
    <t>Unbilled</t>
  </si>
  <si>
    <t>Cost Based</t>
  </si>
  <si>
    <t>Cost Based (Retain 1ph/3ph relationship)</t>
  </si>
  <si>
    <t>Long-run Avoided Cost of Power &amp; Delivery</t>
  </si>
  <si>
    <t>Set equal to tailblock</t>
  </si>
  <si>
    <t>Average Increase</t>
  </si>
  <si>
    <t>Puget Sound Energy</t>
  </si>
  <si>
    <t>Winter (October to March) kWh</t>
  </si>
  <si>
    <t>Summer (April to September) kWh</t>
  </si>
  <si>
    <t>Energy Charge</t>
  </si>
  <si>
    <t>Temperature Adjustment - Winter</t>
  </si>
  <si>
    <t>Temperature Adjustment - Summer</t>
  </si>
  <si>
    <t>Class Average % Increase</t>
  </si>
  <si>
    <t>Class Average % Increase,
Adjust for Residual</t>
  </si>
  <si>
    <t>Secondary Voltage General Service</t>
  </si>
  <si>
    <t>ON REVENUES FROM ELECTRIC SALES</t>
  </si>
  <si>
    <t>Secondary Voltage Small Demand General Service</t>
  </si>
  <si>
    <t>First 20,000 kWh (Summer Apr to Sep)</t>
  </si>
  <si>
    <t>First 20,000 kWh (Winter Oct to Mar)</t>
  </si>
  <si>
    <t>All additional kWh</t>
  </si>
  <si>
    <t>Winter Demand over 50 kW</t>
  </si>
  <si>
    <t>Summer Demand over 50 kW</t>
  </si>
  <si>
    <t>Reactive Power</t>
  </si>
  <si>
    <t>Residential Rate Design</t>
  </si>
  <si>
    <t>Secondary Voltage Rate Design</t>
  </si>
  <si>
    <t>Class Average % Increase, rounding</t>
  </si>
  <si>
    <t>Secondary Voltage Large Demand General Service</t>
  </si>
  <si>
    <t>Winter Demand (Oct to Mar)</t>
  </si>
  <si>
    <t>Summer Demand (Apr to Sep)</t>
  </si>
  <si>
    <t>SCHEDULE 26P</t>
  </si>
  <si>
    <t>Primary Adder</t>
  </si>
  <si>
    <t>Same as Sch 26</t>
  </si>
  <si>
    <t>Primary Discount</t>
  </si>
  <si>
    <t>SCHEDULES 8 &amp; 24</t>
  </si>
  <si>
    <t>SCHEDULES 12 &amp; 26</t>
  </si>
  <si>
    <t>SCHEDULES 7A, 11 &amp; 25</t>
  </si>
  <si>
    <t>SCHEDULE 29</t>
  </si>
  <si>
    <t>Secondary Voltage Irrigation &amp; Pumping Service</t>
  </si>
  <si>
    <t>Over 20,000 kWh (Summer Apr to Sep)</t>
  </si>
  <si>
    <t>Over 20,000 kWh (Winter Oct to Mar)</t>
  </si>
  <si>
    <t>Target Dollars Sch 25/29</t>
  </si>
  <si>
    <t>Sch 31 Equal % and Adjust for Losses &amp; Residual</t>
  </si>
  <si>
    <t>Target Dollars Sch 26/26P</t>
  </si>
  <si>
    <t>Adjustments to Secondary Voltage Rates for Delivery at Primary Voltage</t>
  </si>
  <si>
    <t>Basic Charge Addition Sec Voltage Rate:</t>
  </si>
  <si>
    <t>Demand Credit per kW to all Demand:</t>
  </si>
  <si>
    <t>Energy Charge Reduction to Base Rates:</t>
  </si>
  <si>
    <t>Sch 31 Equal % and Adjust for Losses</t>
  </si>
  <si>
    <t>SCHEDULES 10 &amp; 31</t>
  </si>
  <si>
    <t>Primary Voltage Rate Design</t>
  </si>
  <si>
    <t>Primary Voltage General Service</t>
  </si>
  <si>
    <t>SCHEDULE 35</t>
  </si>
  <si>
    <t>Target Dollars Sch 10/31/35</t>
  </si>
  <si>
    <t>Same as Sch 31</t>
  </si>
  <si>
    <t>Class Average % Increase Adjust For Residual</t>
  </si>
  <si>
    <t>Loss Adj</t>
  </si>
  <si>
    <t>Reactive Power Charge Reduction to Base Rates:</t>
  </si>
  <si>
    <t>SCHEDULE 43</t>
  </si>
  <si>
    <t>Primary Voltage Interruptible Schools</t>
  </si>
  <si>
    <t>All Demand</t>
  </si>
  <si>
    <t>Apply Residual &amp; Adjust for Rounding</t>
  </si>
  <si>
    <t>Target Dollars Sch 43</t>
  </si>
  <si>
    <t>Campus Rate Design</t>
  </si>
  <si>
    <t>Campus Service Demand &gt; 3aMW</t>
  </si>
  <si>
    <t>Basic Charges</t>
  </si>
  <si>
    <t>Secondary Voltage Demand &lt;= 350 kW</t>
  </si>
  <si>
    <t>Secondary Voltage Demand &gt; 350 kW</t>
  </si>
  <si>
    <t>Primary Voltage</t>
  </si>
  <si>
    <t xml:space="preserve"> = Sch 25</t>
  </si>
  <si>
    <t xml:space="preserve"> = Sch 26</t>
  </si>
  <si>
    <t xml:space="preserve"> = Sch 31</t>
  </si>
  <si>
    <t>Secondary Voltage</t>
  </si>
  <si>
    <t>Temperature Adjustment - Secondary Voltage</t>
  </si>
  <si>
    <t>Temperature Adjustment - Primary Voltage</t>
  </si>
  <si>
    <t xml:space="preserve"> = Sch 49 Adjusted for Losses</t>
  </si>
  <si>
    <t>Secondary Voltage (Coincident)</t>
  </si>
  <si>
    <t>Primary Voltage (Coincident)</t>
  </si>
  <si>
    <t>Distribution Demand Charge</t>
  </si>
  <si>
    <t>Reactive Power Charge</t>
  </si>
  <si>
    <t>Target Dollars Sch 40</t>
  </si>
  <si>
    <t>Demand and Energy Rate Calculation:</t>
  </si>
  <si>
    <t>Power Factor Calculation:</t>
  </si>
  <si>
    <t>HV Power Factor</t>
  </si>
  <si>
    <t>HV Demand</t>
  </si>
  <si>
    <t>PV Demand</t>
  </si>
  <si>
    <t>SV Demand</t>
  </si>
  <si>
    <t>$/kVa</t>
  </si>
  <si>
    <t>Load Research Loss Factors:</t>
  </si>
  <si>
    <t>Schedule 49</t>
  </si>
  <si>
    <t>Schedule 31</t>
  </si>
  <si>
    <t>Schedule 26</t>
  </si>
  <si>
    <t>Proposed Sch 49</t>
  </si>
  <si>
    <t>Proposed Sch 40</t>
  </si>
  <si>
    <t>Demand Charge Calculation</t>
  </si>
  <si>
    <t>Energy Charge Calculation</t>
  </si>
  <si>
    <t xml:space="preserve"> = Sch 49 Adjusted for Losses &amp; Power Factor</t>
  </si>
  <si>
    <t>Direct Assignment</t>
  </si>
  <si>
    <t>Average Class Increase</t>
  </si>
  <si>
    <t>Present Sch 40</t>
  </si>
  <si>
    <t>Customer Specific Demand Charges</t>
  </si>
  <si>
    <t>Coincident Primary Voltage Production &amp; Transmission Charge</t>
  </si>
  <si>
    <t>Coincident Secondary Voltage Production &amp; Transmission Charge</t>
  </si>
  <si>
    <t>Coincident Distribution Charge</t>
  </si>
  <si>
    <t>Coincident
Rate</t>
  </si>
  <si>
    <t>High Voltage Rate Design</t>
  </si>
  <si>
    <t>SCHEDULE 46</t>
  </si>
  <si>
    <t>Annual Customer Count</t>
  </si>
  <si>
    <t>Demand Charge (kVa)</t>
  </si>
  <si>
    <t>Annual Energy Minimum Charge</t>
  </si>
  <si>
    <t>Annual Demand Charge</t>
  </si>
  <si>
    <t>SCHEDULE 49</t>
  </si>
  <si>
    <t xml:space="preserve"> = Sch 49</t>
  </si>
  <si>
    <t>SCHEDULES 449 &amp; 459</t>
  </si>
  <si>
    <t>Choice / Retail Wheeling Service</t>
  </si>
  <si>
    <t>COS Basic Charge</t>
  </si>
  <si>
    <t>Primary Voltage Demand Charge (kVa)</t>
  </si>
  <si>
    <t>High Voltage Demand Charge (kVa)</t>
  </si>
  <si>
    <t>OATT Charges</t>
  </si>
  <si>
    <t>Set to Zero</t>
  </si>
  <si>
    <t>Current</t>
  </si>
  <si>
    <t>Transportation &amp; Wholesale for Resale</t>
  </si>
  <si>
    <t>SCHEDULE 005</t>
  </si>
  <si>
    <t>Demand Charge</t>
  </si>
  <si>
    <t>Revenue Deficiency</t>
  </si>
  <si>
    <t>Cost of Service</t>
  </si>
  <si>
    <t>Area and Street Lighting Rate Design</t>
  </si>
  <si>
    <t>SCHEDULE 50</t>
  </si>
  <si>
    <t>SCHEDULE 52</t>
  </si>
  <si>
    <t>SCHEDULE 57</t>
  </si>
  <si>
    <t>SCHEDULES 55 &amp; 56</t>
  </si>
  <si>
    <t>SCHEDULES 58 &amp; 59</t>
  </si>
  <si>
    <t>Lighting Summary</t>
  </si>
  <si>
    <t>All Lighting</t>
  </si>
  <si>
    <t>Delivered</t>
  </si>
  <si>
    <t>Billed</t>
  </si>
  <si>
    <t>Change in Unbilled</t>
  </si>
  <si>
    <t>Twelve Months ended December 2008</t>
  </si>
  <si>
    <t>Summary - Rate Spread</t>
  </si>
  <si>
    <t>Line No.</t>
  </si>
  <si>
    <t>Voltage Level</t>
  </si>
  <si>
    <t>Schedule</t>
  </si>
  <si>
    <t>Percent of Uniform Increase</t>
  </si>
  <si>
    <t>Proposed Revenue Increase (%)</t>
  </si>
  <si>
    <t>A</t>
  </si>
  <si>
    <t>B</t>
  </si>
  <si>
    <t>C</t>
  </si>
  <si>
    <t>D</t>
  </si>
  <si>
    <t>E</t>
  </si>
  <si>
    <t>F</t>
  </si>
  <si>
    <t>G  = B * F</t>
  </si>
  <si>
    <t>H = B + G</t>
  </si>
  <si>
    <t>Residential</t>
  </si>
  <si>
    <t>Demand &lt;= 50 kW</t>
  </si>
  <si>
    <t>8 / 24</t>
  </si>
  <si>
    <t>Demand &gt; 50 kW but &lt;= 350 kW</t>
  </si>
  <si>
    <t>7A / 11/ 25 / 29</t>
  </si>
  <si>
    <t>Demand &gt; 350 kW</t>
  </si>
  <si>
    <t>12 / 26 / 26P</t>
  </si>
  <si>
    <t>Total Secondary Voltage</t>
  </si>
  <si>
    <t>General Service / Irrigation</t>
  </si>
  <si>
    <t>10 / 31 / 35</t>
  </si>
  <si>
    <t>Interruptible Total Electric Schools</t>
  </si>
  <si>
    <t>Total Primary Voltage</t>
  </si>
  <si>
    <t>Total High Voltage</t>
  </si>
  <si>
    <t>46 / 49</t>
  </si>
  <si>
    <t>Choice / Retail Wheeling</t>
  </si>
  <si>
    <t>449 / 459</t>
  </si>
  <si>
    <t>Lighting</t>
  </si>
  <si>
    <t>Total Jurisdictional Retail Sales</t>
  </si>
  <si>
    <t>Firm Resale</t>
  </si>
  <si>
    <t>Total Sales</t>
  </si>
  <si>
    <t>Average Increase Before Schedule 40, Transportation, Firm Resale</t>
  </si>
  <si>
    <t>Average Increase After Schedule 40, Transportation, Firm Resale</t>
  </si>
  <si>
    <t>Adjustment to Average Increase for Unequal Allocation of Increase</t>
  </si>
  <si>
    <t>Average Increase After Schedule 40, Firm Resale adjusted for Unequal Allocation of Increase</t>
  </si>
  <si>
    <t>MWh</t>
  </si>
  <si>
    <t>Percent of Total w/o Schedule 40, 449 &amp; Firm Resale</t>
  </si>
  <si>
    <t>Proposed
Revenue
($000)</t>
  </si>
  <si>
    <t>Proposed
Revenue
Increase
($000)</t>
  </si>
  <si>
    <t>Proposed
Increase
($)</t>
  </si>
  <si>
    <t>Rate Spread Increase</t>
  </si>
  <si>
    <t>Proforma
Revenue
($000)</t>
  </si>
  <si>
    <t>SCHEDULE 7 (ALTERNATE METHODOLOGY)</t>
  </si>
  <si>
    <t>Over 600 kWh</t>
  </si>
  <si>
    <t>Tariffed Rate Components</t>
  </si>
  <si>
    <t xml:space="preserve">Coincident Demand Charge per Registered kW </t>
  </si>
  <si>
    <t>Tariff
Rate
Schedule</t>
  </si>
  <si>
    <t>Base Effective Date</t>
  </si>
  <si>
    <t>Proforma Rates</t>
  </si>
  <si>
    <t>Prod/Trans
Primary Voltage
Demand Charge</t>
  </si>
  <si>
    <t>Prod/Trans
Secondary Voltage 
Demand Charge</t>
  </si>
  <si>
    <t>Distribution
Demand Charge</t>
  </si>
  <si>
    <t>Basic Charge ($ / Month) - One Phase</t>
  </si>
  <si>
    <t>Basic Charge ($ / Month) - Three Phase</t>
  </si>
  <si>
    <t>24 (08)</t>
  </si>
  <si>
    <t>General Service (Secondary Voltage, Demand 50 kW and less)</t>
  </si>
  <si>
    <t>Energy Charge ($ / kWh) - Oct to Mar - All kWh</t>
  </si>
  <si>
    <t>Energy Charge ($ / kWh) - Apr to Sep - All kWh</t>
  </si>
  <si>
    <t>25 (7A) (11)</t>
  </si>
  <si>
    <t>General Service (Secondary Voltage, Demand &gt; 50 kW and &lt;= 350 kW)</t>
  </si>
  <si>
    <t>Basic Charge ($ / Month)</t>
  </si>
  <si>
    <t>Energy Charge ($ / kWh) - Oct to Mar - First 20,000 kWh</t>
  </si>
  <si>
    <t>Energy Charge ($ / kWh) - Apr to Sep - First 20,000 kWh</t>
  </si>
  <si>
    <t>Energy Charge ($ / kWh) - All Over 20,000 kWh</t>
  </si>
  <si>
    <t>Demand Charge ($ / kW) - All - First 50 kW</t>
  </si>
  <si>
    <t>Demand Charge ($ / kW) - Oct to Mar - Over 50 kW</t>
  </si>
  <si>
    <t>Demand Charge ($ / kW) - Apr to Sep - Over 50 kW</t>
  </si>
  <si>
    <t>Reactive Power Charge ($ / kVarh)</t>
  </si>
  <si>
    <t>26 (12)</t>
  </si>
  <si>
    <t>General Service (Secondary Voltage, Demand &gt; 350 kW)</t>
  </si>
  <si>
    <t>Energy Charge ($ / kWh)  - all kWh</t>
  </si>
  <si>
    <t>Demand Charge ($ / kW) - Oct to Mar</t>
  </si>
  <si>
    <t>Demand Charge ($ / kW) - Apr to Sep</t>
  </si>
  <si>
    <t>Primary Voltage Adjustment</t>
  </si>
  <si>
    <t xml:space="preserve"> Basic Charge (in addition to Secondary Voltage Rate)</t>
  </si>
  <si>
    <t>Demand Charge (credit per kW to all Demand Rates)</t>
  </si>
  <si>
    <t>Energy &amp; Reactive Power Credit (% reduction to all base rates)</t>
  </si>
  <si>
    <t>Effective Basic Charge</t>
  </si>
  <si>
    <t>Effective Demand Charge - Winter</t>
  </si>
  <si>
    <t>Effective Demand Charge - Summer</t>
  </si>
  <si>
    <t>Effective Energy Charge</t>
  </si>
  <si>
    <t>Effective Reactive Power Charge</t>
  </si>
  <si>
    <t>Energy Charge ($ / kWh) - Oct to Mar - Over 20,000 kWh</t>
  </si>
  <si>
    <t>Energy Charge ($ / kWh) - Apr to Sep - Over 20,000 kWh</t>
  </si>
  <si>
    <t>Demand Charge ($ / kW)  - All - First 50 kW</t>
  </si>
  <si>
    <t>31 (10)</t>
  </si>
  <si>
    <t>General Service (Primary Voltage)</t>
  </si>
  <si>
    <t>Energy Charge ($ / kWh) - All kWh</t>
  </si>
  <si>
    <t>Seasonal Irrigation &amp; Drainage Service (Primary Voltage)</t>
  </si>
  <si>
    <t>Demand Charge ($ / kW) - Oct to Mar - All kW</t>
  </si>
  <si>
    <t>Demand Charge ($ / kW) - Apr to Sep - All kW</t>
  </si>
  <si>
    <t>Interruptible Service for All Electric Schools (Primary Voltage)</t>
  </si>
  <si>
    <t>Demand Charge ($ / kW)  - All kW</t>
  </si>
  <si>
    <t>Critical Demand Charge ($ / kW) - All kW (Sch 43 vs. Winter 31)</t>
  </si>
  <si>
    <t>Campus Rate For Large Loads</t>
  </si>
  <si>
    <t>Secondary Voltage - Medium Demand</t>
  </si>
  <si>
    <t>Secondary Voltage - Large Demand</t>
  </si>
  <si>
    <t>Prod/Trans Energy Charge ($ / kWh) - All kWh</t>
  </si>
  <si>
    <t>High Voltage</t>
  </si>
  <si>
    <t>Substation O&amp;M Rate</t>
  </si>
  <si>
    <t>Substation A&amp;G OH Rate</t>
  </si>
  <si>
    <t>Substation A&amp;G Rate</t>
  </si>
  <si>
    <t>Overhead Feeder O&amp;M Rate</t>
  </si>
  <si>
    <t>Underground Feeder O&amp;M Rate</t>
  </si>
  <si>
    <t>Substation Land Fixed Charge Rate (FCR)</t>
  </si>
  <si>
    <t>Interim Distribution Charge:</t>
  </si>
  <si>
    <t>Primary Voltage Consumption</t>
  </si>
  <si>
    <t>Secondary Voltage Consumption (&gt; 350 kW Peak Demand)</t>
  </si>
  <si>
    <t>Secondary Voltage Consumption (&lt;= 350 kW Peak Demand)</t>
  </si>
  <si>
    <t>Interruptible Service (High Voltage)</t>
  </si>
  <si>
    <t>Demand Charge ($ / kVa)</t>
  </si>
  <si>
    <t>Minimum Charge - Demand</t>
  </si>
  <si>
    <t>Minimum Charge - Energy</t>
  </si>
  <si>
    <t>General Service (High Voltage)</t>
  </si>
  <si>
    <t xml:space="preserve">Demand Charge ($ / kVa) </t>
  </si>
  <si>
    <t>448 / 458</t>
  </si>
  <si>
    <t>Power Supplier Choice &amp; Back Up Distribution Service</t>
  </si>
  <si>
    <t>Customer Charge ($ / Month)</t>
  </si>
  <si>
    <t>Distribution Charge ($ / kVa Month)</t>
  </si>
  <si>
    <t>Retail Wheeling Service &amp; Back Up Distribution Service</t>
  </si>
  <si>
    <t>Energy Charge ($ / kWh) - First 600 kWh (Alt)</t>
  </si>
  <si>
    <t>Energy Charge ($ / kWh) - Over 600 kWh (Alt)</t>
  </si>
  <si>
    <t>Critical Demand</t>
  </si>
  <si>
    <t>Sch 43 vs Sch 31 Winter Demand</t>
  </si>
  <si>
    <t>Twelve Months ended September 2016</t>
  </si>
  <si>
    <t>Effective December 2017</t>
  </si>
  <si>
    <t>12 MONTHS ENDED SEPTEMBER 2016</t>
  </si>
  <si>
    <t>Proposed
Rates
Effective
December 2017</t>
  </si>
  <si>
    <t>Proposed Effective December 2017</t>
  </si>
  <si>
    <t>Check</t>
  </si>
  <si>
    <t>Note:  Distribution Charge FCR at 7.74% ROR</t>
  </si>
  <si>
    <t>Customer Non Coincident Distribution Charge - (Billed Charge to be Adjusted for Coincident Factor on Customer Bill)</t>
  </si>
  <si>
    <t>Prod/Trans Non Coincident Demand Charge ($ / kW)  - All kW (Billed Charge to be Adjusted for Coincident Factor on Customer Bill)</t>
  </si>
  <si>
    <t>Total Non-Coincident 
Distribution Charge</t>
  </si>
  <si>
    <t>Non-Coincident Transformer
Charge</t>
  </si>
  <si>
    <t>Non-Coincident Feeder
Charge</t>
  </si>
  <si>
    <t>Non-Coincident Substation
Charge</t>
  </si>
  <si>
    <t xml:space="preserve">SCHEDULE 7 </t>
  </si>
  <si>
    <t>Retain Block 1/ Block 2 Relationship</t>
  </si>
  <si>
    <t>Same as Last Block</t>
  </si>
  <si>
    <t>Difference (Set to zero in goal seek for rate spread)</t>
  </si>
  <si>
    <t>Retain current differential between first two blocks</t>
  </si>
  <si>
    <t>Adjust for residual</t>
  </si>
  <si>
    <t>Original Filing</t>
  </si>
  <si>
    <t>Supplemental Filing</t>
  </si>
  <si>
    <t>Customer 1</t>
  </si>
  <si>
    <t>Customer 2</t>
  </si>
  <si>
    <t>Customer 3</t>
  </si>
  <si>
    <t>Customer 4</t>
  </si>
  <si>
    <t>Customer 5</t>
  </si>
  <si>
    <t>Customer 6</t>
  </si>
  <si>
    <t>Customer 7</t>
  </si>
  <si>
    <t>Customer 8</t>
  </si>
  <si>
    <t>Customer 9</t>
  </si>
  <si>
    <t>Customer 10</t>
  </si>
  <si>
    <t>Customer 11</t>
  </si>
  <si>
    <t>Customer 12</t>
  </si>
  <si>
    <t>Customer 13</t>
  </si>
  <si>
    <t>Customer 14</t>
  </si>
  <si>
    <t>kW - Customer 1</t>
  </si>
  <si>
    <t>kW - Customer 2</t>
  </si>
  <si>
    <t>kW - Customer 3</t>
  </si>
  <si>
    <t>kW - Customer 4</t>
  </si>
  <si>
    <t>kW - Customer 5</t>
  </si>
  <si>
    <t>kW - Customer 6</t>
  </si>
  <si>
    <t>kW - Customer 7</t>
  </si>
  <si>
    <t>kW - Customer 8</t>
  </si>
  <si>
    <t>kW - Customer 9</t>
  </si>
  <si>
    <t>kW - Customer 10</t>
  </si>
  <si>
    <t>kW - Customer 11</t>
  </si>
  <si>
    <t>kW - Customer 12</t>
  </si>
  <si>
    <t>kW - Customer 13</t>
  </si>
  <si>
    <t>kW - Customer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</si>
</sst>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0.000_)"/>
    <numFmt numFmtId="166" formatCode="0.0%"/>
    <numFmt numFmtId="167" formatCode="_(&quot;$&quot;* #,##0_);_(&quot;$&quot;* \(#,##0\);_(&quot;$&quot;* &quot;-&quot;??_);_(@_)"/>
    <numFmt numFmtId="168" formatCode="0.00000000000000%"/>
    <numFmt numFmtId="169" formatCode="_(* #,##0_);_(* \(#,##0\);_(* &quot;-&quot;??_);_(@_)"/>
    <numFmt numFmtId="170" formatCode="0.000000_)"/>
    <numFmt numFmtId="171" formatCode="0.0000%"/>
    <numFmt numFmtId="172" formatCode="0.00_)"/>
    <numFmt numFmtId="173" formatCode="0.000%"/>
    <numFmt numFmtId="174" formatCode="0.000000000_)"/>
    <numFmt numFmtId="175" formatCode="_(&quot;$&quot;* #,##0.000000_);_(&quot;$&quot;* \(#,##0.000000\);_(&quot;$&quot;* &quot;-&quot;??_);_(@_)"/>
    <numFmt numFmtId="176" formatCode="_(&quot;$&quot;* #,##0.00000_);_(&quot;$&quot;* \(#,##0.00000\);_(&quot;$&quot;* &quot;-&quot;??_);_(@_)"/>
    <numFmt numFmtId="177" formatCode="########\-###\-###"/>
    <numFmt numFmtId="178" formatCode="General_)"/>
    <numFmt numFmtId="179" formatCode="_(&quot;$&quot;* #,##0.000_);_(&quot;$&quot;* \(#,##0.000\);_(&quot;$&quot;* &quot;-&quot;??_);_(@_)"/>
    <numFmt numFmtId="180" formatCode="&quot;$&quot;#,##0"/>
    <numFmt numFmtId="181" formatCode="0.000000"/>
    <numFmt numFmtId="182" formatCode="_(* #,##0.00000_);_(* \(#,##0.00000\);_(* &quot;-&quot;??_);_(@_)"/>
    <numFmt numFmtId="183" formatCode="0.0000000"/>
  </numFmts>
  <fonts count="22">
    <font>
      <sz val="12"/>
      <name val="Times New Roman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color indexed="12"/>
      <name val="Times New Roman"/>
      <family val="1"/>
    </font>
    <font>
      <sz val="12"/>
      <name val="Arial"/>
      <family val="2"/>
    </font>
    <font>
      <sz val="7"/>
      <name val="Arial"/>
      <family val="2"/>
    </font>
    <font>
      <sz val="12"/>
      <name val="Arial MT"/>
    </font>
    <font>
      <sz val="10"/>
      <name val="SWISS"/>
    </font>
    <font>
      <sz val="10"/>
      <name val="LinePrinter"/>
    </font>
    <font>
      <sz val="10"/>
      <name val="Arial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76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 applyFont="0" applyFill="0" applyBorder="0" applyAlignment="0" applyProtection="0">
      <alignment horizontal="left"/>
    </xf>
    <xf numFmtId="177" fontId="3" fillId="0" borderId="0"/>
    <xf numFmtId="169" fontId="5" fillId="0" borderId="0" applyFont="0" applyAlignment="0" applyProtection="0"/>
    <xf numFmtId="0" fontId="3" fillId="0" borderId="0">
      <alignment wrapText="1"/>
    </xf>
    <xf numFmtId="0" fontId="6" fillId="0" borderId="0"/>
    <xf numFmtId="0" fontId="3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>
      <alignment wrapText="1"/>
    </xf>
    <xf numFmtId="41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>
      <alignment wrapText="1"/>
    </xf>
    <xf numFmtId="0" fontId="3" fillId="0" borderId="0"/>
    <xf numFmtId="0" fontId="3" fillId="0" borderId="0"/>
    <xf numFmtId="0" fontId="3" fillId="0" borderId="0">
      <alignment wrapText="1"/>
    </xf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78" fontId="10" fillId="0" borderId="0">
      <alignment horizontal="left"/>
    </xf>
    <xf numFmtId="0" fontId="11" fillId="0" borderId="0"/>
    <xf numFmtId="181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1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0" fontId="3" fillId="0" borderId="0"/>
    <xf numFmtId="181" fontId="3" fillId="0" borderId="0">
      <alignment horizontal="left" wrapText="1"/>
    </xf>
    <xf numFmtId="181" fontId="3" fillId="0" borderId="0">
      <alignment horizontal="left" wrapText="1"/>
    </xf>
    <xf numFmtId="183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47">
    <xf numFmtId="0" fontId="0" fillId="0" borderId="0" xfId="0"/>
    <xf numFmtId="0" fontId="12" fillId="0" borderId="0" xfId="40" applyFont="1" applyFill="1"/>
    <xf numFmtId="0" fontId="12" fillId="0" borderId="0" xfId="40" applyFont="1" applyFill="1" applyAlignment="1">
      <alignment horizontal="center"/>
    </xf>
    <xf numFmtId="0" fontId="12" fillId="0" borderId="0" xfId="40" applyFont="1" applyFill="1" applyAlignment="1">
      <alignment horizontal="centerContinuous"/>
    </xf>
    <xf numFmtId="0" fontId="12" fillId="0" borderId="5" xfId="40" quotePrefix="1" applyFont="1" applyFill="1" applyBorder="1" applyAlignment="1">
      <alignment horizontal="center" wrapText="1"/>
    </xf>
    <xf numFmtId="0" fontId="12" fillId="0" borderId="5" xfId="40" applyFont="1" applyFill="1" applyBorder="1" applyAlignment="1">
      <alignment horizontal="center" wrapText="1"/>
    </xf>
    <xf numFmtId="0" fontId="12" fillId="0" borderId="0" xfId="40" applyFont="1" applyFill="1" applyAlignment="1">
      <alignment horizontal="center" wrapText="1"/>
    </xf>
    <xf numFmtId="0" fontId="12" fillId="0" borderId="0" xfId="40" quotePrefix="1" applyFont="1" applyFill="1" applyAlignment="1">
      <alignment horizontal="left" indent="1"/>
    </xf>
    <xf numFmtId="14" fontId="12" fillId="0" borderId="0" xfId="40" quotePrefix="1" applyNumberFormat="1" applyFont="1" applyFill="1" applyAlignment="1">
      <alignment horizontal="left" indent="1"/>
    </xf>
    <xf numFmtId="44" fontId="12" fillId="0" borderId="0" xfId="2" applyFont="1" applyFill="1"/>
    <xf numFmtId="44" fontId="12" fillId="0" borderId="0" xfId="40" applyNumberFormat="1" applyFont="1" applyFill="1"/>
    <xf numFmtId="175" fontId="12" fillId="0" borderId="0" xfId="2" applyNumberFormat="1" applyFont="1" applyFill="1"/>
    <xf numFmtId="0" fontId="12" fillId="0" borderId="0" xfId="40" quotePrefix="1" applyFont="1" applyFill="1" applyAlignment="1">
      <alignment horizontal="left"/>
    </xf>
    <xf numFmtId="0" fontId="12" fillId="0" borderId="0" xfId="40" quotePrefix="1" applyFont="1" applyFill="1" applyAlignment="1">
      <alignment horizontal="center"/>
    </xf>
    <xf numFmtId="0" fontId="12" fillId="0" borderId="0" xfId="40" applyFont="1" applyFill="1" applyAlignment="1">
      <alignment horizontal="left" indent="2"/>
    </xf>
    <xf numFmtId="176" fontId="12" fillId="0" borderId="0" xfId="2" applyNumberFormat="1" applyFont="1" applyFill="1"/>
    <xf numFmtId="10" fontId="12" fillId="0" borderId="0" xfId="40" applyNumberFormat="1" applyFont="1" applyFill="1"/>
    <xf numFmtId="0" fontId="12" fillId="0" borderId="0" xfId="40" applyFont="1" applyFill="1" applyAlignment="1">
      <alignment horizontal="left" indent="1"/>
    </xf>
    <xf numFmtId="0" fontId="12" fillId="0" borderId="0" xfId="40" applyFont="1" applyFill="1" applyBorder="1"/>
    <xf numFmtId="0" fontId="12" fillId="0" borderId="0" xfId="40" applyFont="1" applyFill="1" applyBorder="1" applyAlignment="1">
      <alignment horizontal="center"/>
    </xf>
    <xf numFmtId="0" fontId="12" fillId="0" borderId="0" xfId="40" applyFont="1" applyFill="1" applyBorder="1" applyAlignment="1">
      <alignment horizontal="left"/>
    </xf>
    <xf numFmtId="0" fontId="12" fillId="0" borderId="0" xfId="40" quotePrefix="1" applyFont="1" applyFill="1" applyBorder="1" applyAlignment="1">
      <alignment horizontal="left"/>
    </xf>
    <xf numFmtId="0" fontId="12" fillId="0" borderId="0" xfId="40" quotePrefix="1" applyFont="1" applyFill="1" applyBorder="1" applyAlignment="1">
      <alignment horizontal="left" indent="1"/>
    </xf>
    <xf numFmtId="14" fontId="12" fillId="0" borderId="0" xfId="40" quotePrefix="1" applyNumberFormat="1" applyFont="1" applyFill="1" applyBorder="1" applyAlignment="1">
      <alignment horizontal="left" indent="1"/>
    </xf>
    <xf numFmtId="44" fontId="12" fillId="0" borderId="0" xfId="2" applyFont="1" applyFill="1" applyBorder="1"/>
    <xf numFmtId="44" fontId="12" fillId="0" borderId="0" xfId="40" applyNumberFormat="1" applyFont="1" applyFill="1" applyBorder="1"/>
    <xf numFmtId="0" fontId="12" fillId="0" borderId="0" xfId="40" applyFont="1" applyFill="1" applyBorder="1" applyAlignment="1">
      <alignment horizontal="left" indent="2"/>
    </xf>
    <xf numFmtId="0" fontId="12" fillId="0" borderId="0" xfId="40" quotePrefix="1" applyFont="1" applyFill="1" applyBorder="1" applyAlignment="1">
      <alignment horizontal="left" indent="2"/>
    </xf>
    <xf numFmtId="175" fontId="12" fillId="0" borderId="0" xfId="2" applyNumberFormat="1" applyFont="1" applyFill="1" applyBorder="1"/>
    <xf numFmtId="176" fontId="12" fillId="0" borderId="0" xfId="2" applyNumberFormat="1" applyFont="1" applyFill="1" applyBorder="1"/>
    <xf numFmtId="171" fontId="12" fillId="0" borderId="0" xfId="3" applyNumberFormat="1" applyFont="1" applyFill="1" applyBorder="1"/>
    <xf numFmtId="9" fontId="12" fillId="0" borderId="0" xfId="3" applyFont="1" applyFill="1" applyBorder="1"/>
    <xf numFmtId="9" fontId="12" fillId="0" borderId="0" xfId="3" applyNumberFormat="1" applyFont="1" applyFill="1" applyBorder="1"/>
    <xf numFmtId="10" fontId="12" fillId="0" borderId="0" xfId="3" applyNumberFormat="1" applyFont="1" applyFill="1" applyBorder="1"/>
    <xf numFmtId="0" fontId="12" fillId="0" borderId="0" xfId="40" applyFont="1" applyFill="1" applyBorder="1" applyAlignment="1">
      <alignment horizontal="left" indent="1"/>
    </xf>
    <xf numFmtId="0" fontId="12" fillId="0" borderId="0" xfId="40" quotePrefix="1" applyFont="1" applyFill="1" applyBorder="1" applyAlignment="1"/>
    <xf numFmtId="0" fontId="12" fillId="0" borderId="23" xfId="40" quotePrefix="1" applyFont="1" applyFill="1" applyBorder="1" applyAlignment="1">
      <alignment horizontal="center" wrapText="1"/>
    </xf>
    <xf numFmtId="0" fontId="12" fillId="0" borderId="24" xfId="40" quotePrefix="1" applyFont="1" applyFill="1" applyBorder="1" applyAlignment="1">
      <alignment horizontal="center" wrapText="1"/>
    </xf>
    <xf numFmtId="0" fontId="12" fillId="0" borderId="25" xfId="40" quotePrefix="1" applyFont="1" applyFill="1" applyBorder="1" applyAlignment="1">
      <alignment horizontal="center" wrapText="1"/>
    </xf>
    <xf numFmtId="0" fontId="12" fillId="0" borderId="0" xfId="40" applyFont="1" applyFill="1" applyAlignment="1"/>
    <xf numFmtId="0" fontId="12" fillId="0" borderId="0" xfId="40" applyFont="1" applyFill="1" applyAlignment="1">
      <alignment horizontal="left"/>
    </xf>
    <xf numFmtId="0" fontId="12" fillId="0" borderId="0" xfId="40" quotePrefix="1" applyFont="1" applyFill="1" applyAlignment="1">
      <alignment horizontal="left" indent="2"/>
    </xf>
    <xf numFmtId="179" fontId="12" fillId="0" borderId="0" xfId="2" applyNumberFormat="1" applyFont="1" applyFill="1"/>
    <xf numFmtId="179" fontId="12" fillId="0" borderId="0" xfId="40" applyNumberFormat="1" applyFont="1" applyFill="1"/>
    <xf numFmtId="0" fontId="13" fillId="0" borderId="0" xfId="0" applyFont="1" applyFill="1"/>
    <xf numFmtId="0" fontId="14" fillId="0" borderId="0" xfId="0" quotePrefix="1" applyFont="1" applyFill="1" applyAlignment="1" applyProtection="1"/>
    <xf numFmtId="0" fontId="14" fillId="0" borderId="0" xfId="0" quotePrefix="1" applyFont="1" applyFill="1" applyAlignment="1" applyProtection="1">
      <alignment horizontal="centerContinuous"/>
    </xf>
    <xf numFmtId="37" fontId="14" fillId="0" borderId="0" xfId="0" applyNumberFormat="1" applyFont="1" applyFill="1" applyAlignment="1" applyProtection="1">
      <alignment horizontal="center"/>
    </xf>
    <xf numFmtId="0" fontId="14" fillId="0" borderId="0" xfId="0" applyFont="1" applyFill="1" applyProtection="1"/>
    <xf numFmtId="0" fontId="14" fillId="0" borderId="0" xfId="0" applyFont="1" applyFill="1" applyAlignment="1" applyProtection="1">
      <alignment horizontal="center"/>
    </xf>
    <xf numFmtId="0" fontId="14" fillId="0" borderId="0" xfId="0" applyFont="1" applyFill="1" applyBorder="1" applyAlignment="1" applyProtection="1">
      <alignment wrapText="1"/>
    </xf>
    <xf numFmtId="37" fontId="14" fillId="0" borderId="7" xfId="0" applyNumberFormat="1" applyFont="1" applyFill="1" applyBorder="1" applyAlignment="1" applyProtection="1">
      <alignment horizontal="center"/>
    </xf>
    <xf numFmtId="0" fontId="14" fillId="0" borderId="7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13" fillId="0" borderId="0" xfId="0" applyFont="1" applyFill="1" applyProtection="1"/>
    <xf numFmtId="37" fontId="13" fillId="0" borderId="0" xfId="0" applyNumberFormat="1" applyFont="1" applyFill="1" applyProtection="1"/>
    <xf numFmtId="7" fontId="13" fillId="0" borderId="0" xfId="0" applyNumberFormat="1" applyFont="1" applyFill="1" applyProtection="1"/>
    <xf numFmtId="5" fontId="13" fillId="0" borderId="0" xfId="0" applyNumberFormat="1" applyFont="1" applyFill="1" applyProtection="1"/>
    <xf numFmtId="169" fontId="13" fillId="0" borderId="0" xfId="1" applyNumberFormat="1" applyFont="1" applyFill="1" applyBorder="1"/>
    <xf numFmtId="169" fontId="13" fillId="0" borderId="0" xfId="1" applyNumberFormat="1" applyFont="1" applyFill="1"/>
    <xf numFmtId="169" fontId="13" fillId="0" borderId="0" xfId="1" applyNumberFormat="1" applyFont="1" applyFill="1" applyProtection="1"/>
    <xf numFmtId="169" fontId="13" fillId="0" borderId="14" xfId="1" applyNumberFormat="1" applyFont="1" applyFill="1" applyBorder="1" applyProtection="1"/>
    <xf numFmtId="5" fontId="13" fillId="0" borderId="14" xfId="0" applyNumberFormat="1" applyFont="1" applyFill="1" applyBorder="1" applyProtection="1"/>
    <xf numFmtId="0" fontId="13" fillId="0" borderId="0" xfId="0" applyFont="1" applyFill="1" applyBorder="1"/>
    <xf numFmtId="3" fontId="13" fillId="0" borderId="0" xfId="0" applyNumberFormat="1" applyFont="1" applyFill="1" applyBorder="1"/>
    <xf numFmtId="3" fontId="13" fillId="0" borderId="0" xfId="0" applyNumberFormat="1" applyFont="1" applyFill="1"/>
    <xf numFmtId="5" fontId="13" fillId="0" borderId="0" xfId="0" applyNumberFormat="1" applyFont="1" applyFill="1"/>
    <xf numFmtId="0" fontId="13" fillId="0" borderId="0" xfId="0" quotePrefix="1" applyFont="1" applyFill="1" applyAlignment="1" applyProtection="1">
      <alignment horizontal="left"/>
    </xf>
    <xf numFmtId="44" fontId="13" fillId="0" borderId="0" xfId="0" applyNumberFormat="1" applyFont="1" applyFill="1" applyProtection="1">
      <protection locked="0"/>
    </xf>
    <xf numFmtId="5" fontId="13" fillId="0" borderId="0" xfId="0" applyNumberFormat="1" applyFont="1" applyFill="1" applyBorder="1" applyProtection="1"/>
    <xf numFmtId="10" fontId="13" fillId="0" borderId="0" xfId="0" applyNumberFormat="1" applyFont="1" applyFill="1"/>
    <xf numFmtId="9" fontId="13" fillId="0" borderId="0" xfId="3" applyNumberFormat="1" applyFont="1" applyFill="1"/>
    <xf numFmtId="10" fontId="13" fillId="0" borderId="0" xfId="3" applyNumberFormat="1" applyFont="1" applyFill="1"/>
    <xf numFmtId="175" fontId="13" fillId="0" borderId="0" xfId="0" applyNumberFormat="1" applyFont="1" applyFill="1" applyProtection="1">
      <protection locked="0"/>
    </xf>
    <xf numFmtId="0" fontId="13" fillId="0" borderId="0" xfId="0" quotePrefix="1" applyFont="1" applyFill="1" applyAlignment="1" applyProtection="1">
      <alignment horizontal="left" indent="1"/>
    </xf>
    <xf numFmtId="37" fontId="13" fillId="0" borderId="0" xfId="0" applyNumberFormat="1" applyFont="1" applyFill="1"/>
    <xf numFmtId="0" fontId="13" fillId="0" borderId="0" xfId="0" applyFont="1" applyFill="1" applyAlignment="1" applyProtection="1">
      <alignment horizontal="left" indent="1"/>
    </xf>
    <xf numFmtId="167" fontId="13" fillId="0" borderId="0" xfId="2" applyNumberFormat="1" applyFont="1" applyFill="1" applyProtection="1"/>
    <xf numFmtId="37" fontId="13" fillId="0" borderId="5" xfId="0" applyNumberFormat="1" applyFont="1" applyFill="1" applyBorder="1" applyProtection="1"/>
    <xf numFmtId="5" fontId="13" fillId="0" borderId="5" xfId="0" applyNumberFormat="1" applyFont="1" applyFill="1" applyBorder="1" applyProtection="1"/>
    <xf numFmtId="0" fontId="13" fillId="0" borderId="0" xfId="0" applyFont="1" applyFill="1" applyAlignment="1" applyProtection="1">
      <alignment horizontal="left" indent="2"/>
    </xf>
    <xf numFmtId="37" fontId="13" fillId="0" borderId="0" xfId="0" applyNumberFormat="1" applyFont="1" applyFill="1" applyBorder="1" applyProtection="1"/>
    <xf numFmtId="179" fontId="13" fillId="0" borderId="0" xfId="0" applyNumberFormat="1" applyFont="1" applyFill="1" applyProtection="1">
      <protection locked="0"/>
    </xf>
    <xf numFmtId="169" fontId="13" fillId="0" borderId="0" xfId="0" applyNumberFormat="1" applyFont="1" applyFill="1" applyBorder="1" applyProtection="1"/>
    <xf numFmtId="0" fontId="13" fillId="0" borderId="0" xfId="0" applyFont="1" applyFill="1" applyBorder="1" applyProtection="1"/>
    <xf numFmtId="10" fontId="13" fillId="0" borderId="0" xfId="3" applyNumberFormat="1" applyFont="1" applyFill="1" applyBorder="1"/>
    <xf numFmtId="166" fontId="13" fillId="0" borderId="0" xfId="3" applyNumberFormat="1" applyFont="1" applyFill="1"/>
    <xf numFmtId="169" fontId="13" fillId="0" borderId="0" xfId="1" applyNumberFormat="1" applyFont="1" applyFill="1" applyBorder="1" applyProtection="1"/>
    <xf numFmtId="0" fontId="13" fillId="0" borderId="0" xfId="0" quotePrefix="1" applyFont="1" applyFill="1" applyAlignment="1">
      <alignment horizontal="left"/>
    </xf>
    <xf numFmtId="5" fontId="13" fillId="0" borderId="12" xfId="0" applyNumberFormat="1" applyFont="1" applyFill="1" applyBorder="1" applyProtection="1"/>
    <xf numFmtId="0" fontId="13" fillId="0" borderId="1" xfId="0" applyFont="1" applyFill="1" applyBorder="1"/>
    <xf numFmtId="5" fontId="13" fillId="0" borderId="2" xfId="0" applyNumberFormat="1" applyFont="1" applyFill="1" applyBorder="1"/>
    <xf numFmtId="10" fontId="13" fillId="0" borderId="3" xfId="3" applyNumberFormat="1" applyFont="1" applyFill="1" applyBorder="1"/>
    <xf numFmtId="7" fontId="13" fillId="0" borderId="0" xfId="0" applyNumberFormat="1" applyFont="1" applyFill="1" applyProtection="1">
      <protection locked="0"/>
    </xf>
    <xf numFmtId="0" fontId="13" fillId="0" borderId="4" xfId="0" applyFont="1" applyFill="1" applyBorder="1"/>
    <xf numFmtId="5" fontId="13" fillId="0" borderId="5" xfId="0" applyNumberFormat="1" applyFont="1" applyFill="1" applyBorder="1"/>
    <xf numFmtId="171" fontId="13" fillId="0" borderId="6" xfId="3" applyNumberFormat="1" applyFont="1" applyFill="1" applyBorder="1"/>
    <xf numFmtId="176" fontId="13" fillId="0" borderId="0" xfId="0" applyNumberFormat="1" applyFont="1" applyFill="1" applyProtection="1">
      <protection locked="0"/>
    </xf>
    <xf numFmtId="174" fontId="13" fillId="0" borderId="0" xfId="0" applyNumberFormat="1" applyFont="1" applyFill="1" applyProtection="1"/>
    <xf numFmtId="5" fontId="13" fillId="0" borderId="10" xfId="0" applyNumberFormat="1" applyFont="1" applyFill="1" applyBorder="1" applyProtection="1"/>
    <xf numFmtId="37" fontId="13" fillId="0" borderId="10" xfId="0" applyNumberFormat="1" applyFont="1" applyFill="1" applyBorder="1" applyProtection="1"/>
    <xf numFmtId="172" fontId="13" fillId="0" borderId="0" xfId="0" applyNumberFormat="1" applyFont="1" applyFill="1" applyProtection="1">
      <protection locked="0"/>
    </xf>
    <xf numFmtId="5" fontId="13" fillId="0" borderId="1" xfId="0" applyNumberFormat="1" applyFont="1" applyFill="1" applyBorder="1"/>
    <xf numFmtId="0" fontId="13" fillId="0" borderId="2" xfId="0" applyFont="1" applyFill="1" applyBorder="1"/>
    <xf numFmtId="5" fontId="13" fillId="0" borderId="13" xfId="0" applyNumberFormat="1" applyFont="1" applyFill="1" applyBorder="1"/>
    <xf numFmtId="10" fontId="13" fillId="0" borderId="4" xfId="3" applyNumberFormat="1" applyFont="1" applyFill="1" applyBorder="1"/>
    <xf numFmtId="0" fontId="13" fillId="0" borderId="5" xfId="0" quotePrefix="1" applyFont="1" applyFill="1" applyBorder="1" applyAlignment="1">
      <alignment horizontal="left" wrapText="1"/>
    </xf>
    <xf numFmtId="3" fontId="13" fillId="0" borderId="5" xfId="0" applyNumberFormat="1" applyFont="1" applyFill="1" applyBorder="1"/>
    <xf numFmtId="0" fontId="13" fillId="0" borderId="0" xfId="0" quotePrefix="1" applyFont="1" applyFill="1" applyAlignment="1" applyProtection="1">
      <alignment horizontal="left" indent="3"/>
    </xf>
    <xf numFmtId="9" fontId="13" fillId="0" borderId="0" xfId="3" applyNumberFormat="1" applyFont="1" applyFill="1" applyProtection="1"/>
    <xf numFmtId="10" fontId="13" fillId="0" borderId="0" xfId="3" applyNumberFormat="1" applyFont="1" applyFill="1" applyProtection="1"/>
    <xf numFmtId="0" fontId="13" fillId="0" borderId="0" xfId="0" quotePrefix="1" applyFont="1" applyFill="1" applyAlignment="1" applyProtection="1">
      <alignment horizontal="left" indent="2"/>
    </xf>
    <xf numFmtId="37" fontId="13" fillId="0" borderId="0" xfId="0" quotePrefix="1" applyNumberFormat="1" applyFont="1" applyFill="1" applyAlignment="1" applyProtection="1">
      <alignment horizontal="center"/>
    </xf>
    <xf numFmtId="37" fontId="17" fillId="0" borderId="0" xfId="0" quotePrefix="1" applyNumberFormat="1" applyFont="1" applyFill="1" applyAlignment="1" applyProtection="1">
      <alignment horizontal="center"/>
    </xf>
    <xf numFmtId="0" fontId="17" fillId="0" borderId="0" xfId="0" applyFont="1" applyFill="1"/>
    <xf numFmtId="0" fontId="17" fillId="0" borderId="0" xfId="0" quotePrefix="1" applyFont="1" applyFill="1" applyAlignment="1">
      <alignment horizontal="left"/>
    </xf>
    <xf numFmtId="0" fontId="13" fillId="0" borderId="0" xfId="0" quotePrefix="1" applyFont="1" applyFill="1" applyAlignment="1" applyProtection="1">
      <alignment horizontal="left" indent="4"/>
    </xf>
    <xf numFmtId="44" fontId="13" fillId="0" borderId="0" xfId="0" applyNumberFormat="1" applyFont="1" applyFill="1"/>
    <xf numFmtId="175" fontId="13" fillId="0" borderId="0" xfId="2" applyNumberFormat="1" applyFont="1" applyFill="1"/>
    <xf numFmtId="175" fontId="13" fillId="0" borderId="0" xfId="0" applyNumberFormat="1" applyFont="1" applyFill="1"/>
    <xf numFmtId="37" fontId="14" fillId="0" borderId="23" xfId="0" applyNumberFormat="1" applyFont="1" applyFill="1" applyBorder="1" applyAlignment="1" applyProtection="1">
      <alignment horizontal="center" wrapText="1"/>
    </xf>
    <xf numFmtId="0" fontId="17" fillId="0" borderId="24" xfId="0" applyFont="1" applyFill="1" applyBorder="1" applyAlignment="1">
      <alignment horizontal="center" wrapText="1"/>
    </xf>
    <xf numFmtId="37" fontId="14" fillId="0" borderId="24" xfId="0" applyNumberFormat="1" applyFont="1" applyFill="1" applyBorder="1" applyAlignment="1" applyProtection="1">
      <alignment horizontal="center" wrapText="1"/>
    </xf>
    <xf numFmtId="37" fontId="14" fillId="0" borderId="24" xfId="0" quotePrefix="1" applyNumberFormat="1" applyFont="1" applyFill="1" applyBorder="1" applyAlignment="1" applyProtection="1">
      <alignment horizontal="center" wrapText="1"/>
    </xf>
    <xf numFmtId="0" fontId="13" fillId="0" borderId="24" xfId="0" applyFont="1" applyFill="1" applyBorder="1" applyAlignment="1">
      <alignment wrapText="1"/>
    </xf>
    <xf numFmtId="37" fontId="14" fillId="0" borderId="25" xfId="0" quotePrefix="1" applyNumberFormat="1" applyFont="1" applyFill="1" applyBorder="1" applyAlignment="1" applyProtection="1">
      <alignment horizontal="center" wrapText="1"/>
    </xf>
    <xf numFmtId="3" fontId="13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0" fontId="13" fillId="0" borderId="17" xfId="0" quotePrefix="1" applyFont="1" applyFill="1" applyBorder="1" applyAlignment="1">
      <alignment horizontal="left"/>
    </xf>
    <xf numFmtId="44" fontId="13" fillId="0" borderId="0" xfId="0" applyNumberFormat="1" applyFont="1" applyFill="1" applyBorder="1"/>
    <xf numFmtId="9" fontId="13" fillId="0" borderId="0" xfId="3" applyNumberFormat="1" applyFont="1" applyFill="1" applyBorder="1" applyProtection="1"/>
    <xf numFmtId="44" fontId="13" fillId="0" borderId="18" xfId="0" applyNumberFormat="1" applyFont="1" applyFill="1" applyBorder="1"/>
    <xf numFmtId="0" fontId="13" fillId="0" borderId="17" xfId="0" applyFont="1" applyFill="1" applyBorder="1"/>
    <xf numFmtId="3" fontId="13" fillId="0" borderId="18" xfId="0" applyNumberFormat="1" applyFont="1" applyFill="1" applyBorder="1"/>
    <xf numFmtId="0" fontId="13" fillId="0" borderId="19" xfId="0" quotePrefix="1" applyFont="1" applyFill="1" applyBorder="1" applyAlignment="1">
      <alignment horizontal="left"/>
    </xf>
    <xf numFmtId="0" fontId="13" fillId="0" borderId="22" xfId="0" applyFont="1" applyFill="1" applyBorder="1"/>
    <xf numFmtId="3" fontId="13" fillId="0" borderId="20" xfId="0" applyNumberFormat="1" applyFont="1" applyFill="1" applyBorder="1"/>
    <xf numFmtId="0" fontId="13" fillId="0" borderId="1" xfId="0" quotePrefix="1" applyFont="1" applyFill="1" applyBorder="1" applyAlignment="1">
      <alignment horizontal="left"/>
    </xf>
    <xf numFmtId="44" fontId="13" fillId="0" borderId="0" xfId="2" applyNumberFormat="1" applyFont="1" applyFill="1" applyBorder="1" applyProtection="1"/>
    <xf numFmtId="0" fontId="18" fillId="0" borderId="0" xfId="0" applyFont="1" applyFill="1" applyAlignment="1"/>
    <xf numFmtId="0" fontId="14" fillId="0" borderId="0" xfId="0" quotePrefix="1" applyNumberFormat="1" applyFont="1" applyFill="1" applyAlignment="1"/>
    <xf numFmtId="0" fontId="14" fillId="0" borderId="0" xfId="0" applyFont="1" applyFill="1" applyAlignment="1" applyProtection="1">
      <alignment horizontal="centerContinuous"/>
    </xf>
    <xf numFmtId="37" fontId="14" fillId="0" borderId="0" xfId="0" applyNumberFormat="1" applyFont="1" applyFill="1" applyAlignment="1" applyProtection="1">
      <alignment horizontal="centerContinuous"/>
    </xf>
    <xf numFmtId="170" fontId="13" fillId="0" borderId="0" xfId="0" applyNumberFormat="1" applyFont="1" applyFill="1" applyProtection="1"/>
    <xf numFmtId="0" fontId="13" fillId="0" borderId="0" xfId="0" applyFont="1" applyFill="1" applyProtection="1">
      <protection locked="0"/>
    </xf>
    <xf numFmtId="9" fontId="13" fillId="0" borderId="0" xfId="0" applyNumberFormat="1" applyFont="1" applyFill="1"/>
    <xf numFmtId="43" fontId="13" fillId="0" borderId="0" xfId="1" applyFont="1" applyFill="1"/>
    <xf numFmtId="37" fontId="13" fillId="0" borderId="12" xfId="0" applyNumberFormat="1" applyFont="1" applyFill="1" applyBorder="1" applyProtection="1"/>
    <xf numFmtId="166" fontId="13" fillId="0" borderId="6" xfId="3" applyNumberFormat="1" applyFont="1" applyFill="1" applyBorder="1"/>
    <xf numFmtId="0" fontId="19" fillId="0" borderId="0" xfId="0" quotePrefix="1" applyFont="1" applyFill="1" applyAlignment="1">
      <alignment horizontal="left"/>
    </xf>
    <xf numFmtId="10" fontId="13" fillId="0" borderId="0" xfId="8" applyNumberFormat="1" applyFont="1" applyFill="1" applyBorder="1"/>
    <xf numFmtId="7" fontId="13" fillId="0" borderId="0" xfId="8" applyNumberFormat="1" applyFont="1" applyFill="1" applyBorder="1"/>
    <xf numFmtId="0" fontId="20" fillId="0" borderId="17" xfId="0" quotePrefix="1" applyFont="1" applyFill="1" applyBorder="1" applyAlignment="1">
      <alignment horizontal="left"/>
    </xf>
    <xf numFmtId="44" fontId="20" fillId="0" borderId="0" xfId="0" applyNumberFormat="1" applyFont="1" applyFill="1" applyBorder="1"/>
    <xf numFmtId="0" fontId="20" fillId="0" borderId="18" xfId="0" applyFont="1" applyFill="1" applyBorder="1"/>
    <xf numFmtId="44" fontId="20" fillId="0" borderId="18" xfId="2" applyFont="1" applyFill="1" applyBorder="1"/>
    <xf numFmtId="10" fontId="20" fillId="0" borderId="0" xfId="3" applyNumberFormat="1" applyFont="1" applyBorder="1"/>
    <xf numFmtId="175" fontId="20" fillId="0" borderId="18" xfId="2" applyNumberFormat="1" applyFont="1" applyFill="1" applyBorder="1"/>
    <xf numFmtId="0" fontId="20" fillId="0" borderId="19" xfId="0" quotePrefix="1" applyFont="1" applyFill="1" applyBorder="1" applyAlignment="1">
      <alignment horizontal="left"/>
    </xf>
    <xf numFmtId="10" fontId="20" fillId="0" borderId="22" xfId="3" applyNumberFormat="1" applyFont="1" applyBorder="1"/>
    <xf numFmtId="176" fontId="20" fillId="0" borderId="20" xfId="2" applyNumberFormat="1" applyFont="1" applyFill="1" applyBorder="1"/>
    <xf numFmtId="10" fontId="12" fillId="0" borderId="0" xfId="3" applyNumberFormat="1" applyFont="1" applyBorder="1"/>
    <xf numFmtId="173" fontId="12" fillId="0" borderId="0" xfId="3" applyNumberFormat="1" applyFont="1" applyBorder="1"/>
    <xf numFmtId="9" fontId="12" fillId="0" borderId="0" xfId="0" applyNumberFormat="1" applyFont="1" applyFill="1" applyBorder="1"/>
    <xf numFmtId="0" fontId="13" fillId="0" borderId="0" xfId="0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center"/>
    </xf>
    <xf numFmtId="0" fontId="13" fillId="0" borderId="0" xfId="0" quotePrefix="1" applyFont="1" applyFill="1" applyAlignment="1">
      <alignment wrapText="1"/>
    </xf>
    <xf numFmtId="169" fontId="13" fillId="0" borderId="0" xfId="0" applyNumberFormat="1" applyFont="1" applyFill="1" applyProtection="1"/>
    <xf numFmtId="5" fontId="13" fillId="0" borderId="0" xfId="0" applyNumberFormat="1" applyFont="1" applyFill="1" applyProtection="1">
      <protection locked="0"/>
    </xf>
    <xf numFmtId="37" fontId="13" fillId="0" borderId="14" xfId="0" applyNumberFormat="1" applyFont="1" applyFill="1" applyBorder="1" applyProtection="1"/>
    <xf numFmtId="180" fontId="13" fillId="0" borderId="2" xfId="0" applyNumberFormat="1" applyFont="1" applyFill="1" applyBorder="1"/>
    <xf numFmtId="180" fontId="13" fillId="0" borderId="5" xfId="2" applyNumberFormat="1" applyFont="1" applyFill="1" applyBorder="1"/>
    <xf numFmtId="0" fontId="13" fillId="0" borderId="6" xfId="0" applyFont="1" applyFill="1" applyBorder="1"/>
    <xf numFmtId="9" fontId="13" fillId="0" borderId="0" xfId="3" applyFont="1" applyFill="1"/>
    <xf numFmtId="167" fontId="13" fillId="0" borderId="0" xfId="2" applyNumberFormat="1" applyFont="1" applyFill="1"/>
    <xf numFmtId="10" fontId="13" fillId="0" borderId="2" xfId="0" applyNumberFormat="1" applyFont="1" applyFill="1" applyBorder="1"/>
    <xf numFmtId="10" fontId="13" fillId="0" borderId="0" xfId="0" applyNumberFormat="1" applyFont="1" applyFill="1" applyBorder="1"/>
    <xf numFmtId="166" fontId="13" fillId="0" borderId="2" xfId="3" applyNumberFormat="1" applyFont="1" applyFill="1" applyBorder="1"/>
    <xf numFmtId="0" fontId="13" fillId="0" borderId="0" xfId="4" applyFont="1" applyFill="1"/>
    <xf numFmtId="0" fontId="18" fillId="0" borderId="0" xfId="4" applyFont="1" applyFill="1"/>
    <xf numFmtId="0" fontId="13" fillId="0" borderId="0" xfId="4" applyFont="1" applyFill="1" applyBorder="1"/>
    <xf numFmtId="0" fontId="13" fillId="0" borderId="0" xfId="4" applyFont="1" applyFill="1" applyAlignment="1">
      <alignment horizontal="center"/>
    </xf>
    <xf numFmtId="0" fontId="13" fillId="0" borderId="0" xfId="4" applyFont="1" applyFill="1" applyBorder="1" applyAlignment="1">
      <alignment horizontal="left"/>
    </xf>
    <xf numFmtId="0" fontId="13" fillId="0" borderId="0" xfId="4" applyFont="1" applyFill="1" applyBorder="1" applyAlignment="1">
      <alignment horizontal="center"/>
    </xf>
    <xf numFmtId="0" fontId="13" fillId="0" borderId="0" xfId="4" quotePrefix="1" applyFont="1" applyFill="1" applyAlignment="1">
      <alignment horizontal="center"/>
    </xf>
    <xf numFmtId="0" fontId="13" fillId="0" borderId="0" xfId="4" quotePrefix="1" applyFont="1" applyFill="1" applyBorder="1" applyAlignment="1">
      <alignment horizontal="center"/>
    </xf>
    <xf numFmtId="0" fontId="13" fillId="0" borderId="0" xfId="4" applyFont="1" applyFill="1" applyBorder="1" applyAlignment="1"/>
    <xf numFmtId="5" fontId="13" fillId="0" borderId="0" xfId="5" applyNumberFormat="1" applyFont="1" applyBorder="1" applyAlignment="1">
      <alignment horizontal="center"/>
    </xf>
    <xf numFmtId="0" fontId="13" fillId="0" borderId="7" xfId="4" applyFont="1" applyFill="1" applyBorder="1" applyAlignment="1">
      <alignment horizontal="center"/>
    </xf>
    <xf numFmtId="6" fontId="13" fillId="0" borderId="7" xfId="4" quotePrefix="1" applyNumberFormat="1" applyFont="1" applyFill="1" applyBorder="1" applyAlignment="1">
      <alignment horizontal="center"/>
    </xf>
    <xf numFmtId="5" fontId="13" fillId="0" borderId="5" xfId="5" quotePrefix="1" applyNumberFormat="1" applyFont="1" applyBorder="1" applyAlignment="1">
      <alignment horizontal="center"/>
    </xf>
    <xf numFmtId="6" fontId="13" fillId="0" borderId="0" xfId="4" quotePrefix="1" applyNumberFormat="1" applyFont="1" applyFill="1" applyBorder="1" applyAlignment="1">
      <alignment horizontal="center"/>
    </xf>
    <xf numFmtId="0" fontId="13" fillId="0" borderId="5" xfId="4" quotePrefix="1" applyFont="1" applyFill="1" applyBorder="1" applyAlignment="1">
      <alignment horizontal="center"/>
    </xf>
    <xf numFmtId="0" fontId="13" fillId="0" borderId="0" xfId="4" quotePrefix="1" applyFont="1" applyFill="1"/>
    <xf numFmtId="37" fontId="13" fillId="0" borderId="0" xfId="4" applyNumberFormat="1" applyFont="1" applyFill="1" applyProtection="1"/>
    <xf numFmtId="180" fontId="13" fillId="0" borderId="0" xfId="4" applyNumberFormat="1" applyFont="1" applyFill="1" applyProtection="1">
      <protection locked="0"/>
    </xf>
    <xf numFmtId="180" fontId="13" fillId="0" borderId="0" xfId="3" applyNumberFormat="1" applyFont="1" applyFill="1" applyProtection="1">
      <protection locked="0"/>
    </xf>
    <xf numFmtId="10" fontId="13" fillId="0" borderId="0" xfId="3" applyNumberFormat="1" applyFont="1" applyFill="1" applyProtection="1">
      <protection locked="0"/>
    </xf>
    <xf numFmtId="164" fontId="13" fillId="0" borderId="0" xfId="4" applyNumberFormat="1" applyFont="1" applyFill="1" applyProtection="1"/>
    <xf numFmtId="10" fontId="13" fillId="0" borderId="0" xfId="3" applyNumberFormat="1" applyFont="1" applyFill="1" applyBorder="1" applyProtection="1">
      <protection locked="0"/>
    </xf>
    <xf numFmtId="0" fontId="20" fillId="0" borderId="0" xfId="6" applyFont="1" applyFill="1" applyAlignment="1">
      <alignment horizontal="center"/>
    </xf>
    <xf numFmtId="37" fontId="13" fillId="0" borderId="10" xfId="4" applyNumberFormat="1" applyFont="1" applyFill="1" applyBorder="1" applyProtection="1"/>
    <xf numFmtId="180" fontId="13" fillId="0" borderId="10" xfId="4" applyNumberFormat="1" applyFont="1" applyFill="1" applyBorder="1" applyProtection="1">
      <protection locked="0"/>
    </xf>
    <xf numFmtId="10" fontId="13" fillId="0" borderId="10" xfId="3" applyNumberFormat="1" applyFont="1" applyFill="1" applyBorder="1" applyProtection="1">
      <protection locked="0"/>
    </xf>
    <xf numFmtId="164" fontId="13" fillId="0" borderId="10" xfId="4" applyNumberFormat="1" applyFont="1" applyFill="1" applyBorder="1" applyProtection="1"/>
    <xf numFmtId="180" fontId="13" fillId="0" borderId="0" xfId="4" applyNumberFormat="1" applyFont="1" applyFill="1"/>
    <xf numFmtId="10" fontId="13" fillId="0" borderId="0" xfId="4" applyNumberFormat="1" applyFont="1" applyFill="1"/>
    <xf numFmtId="37" fontId="13" fillId="0" borderId="0" xfId="4" applyNumberFormat="1" applyFont="1" applyFill="1"/>
    <xf numFmtId="0" fontId="20" fillId="0" borderId="0" xfId="6" applyFont="1" applyFill="1"/>
    <xf numFmtId="0" fontId="16" fillId="0" borderId="0" xfId="4" quotePrefix="1" applyFont="1" applyFill="1" applyAlignment="1">
      <alignment horizontal="left"/>
    </xf>
    <xf numFmtId="37" fontId="13" fillId="0" borderId="8" xfId="4" applyNumberFormat="1" applyFont="1" applyFill="1" applyBorder="1"/>
    <xf numFmtId="180" fontId="13" fillId="0" borderId="8" xfId="4" applyNumberFormat="1" applyFont="1" applyFill="1" applyBorder="1"/>
    <xf numFmtId="180" fontId="13" fillId="0" borderId="0" xfId="3" applyNumberFormat="1" applyFont="1" applyFill="1" applyBorder="1" applyProtection="1">
      <protection locked="0"/>
    </xf>
    <xf numFmtId="180" fontId="13" fillId="0" borderId="0" xfId="4" applyNumberFormat="1" applyFont="1" applyFill="1" applyBorder="1"/>
    <xf numFmtId="10" fontId="13" fillId="0" borderId="8" xfId="3" applyNumberFormat="1" applyFont="1" applyFill="1" applyBorder="1" applyProtection="1">
      <protection locked="0"/>
    </xf>
    <xf numFmtId="165" fontId="13" fillId="0" borderId="8" xfId="0" applyNumberFormat="1" applyFont="1" applyFill="1" applyBorder="1" applyProtection="1"/>
    <xf numFmtId="37" fontId="13" fillId="0" borderId="0" xfId="4" applyNumberFormat="1" applyFont="1" applyFill="1" applyBorder="1"/>
    <xf numFmtId="5" fontId="13" fillId="0" borderId="0" xfId="4" applyNumberFormat="1" applyFont="1" applyFill="1" applyBorder="1"/>
    <xf numFmtId="166" fontId="13" fillId="0" borderId="0" xfId="3" applyNumberFormat="1" applyFont="1" applyFill="1" applyBorder="1" applyProtection="1">
      <protection locked="0"/>
    </xf>
    <xf numFmtId="167" fontId="13" fillId="0" borderId="0" xfId="2" applyNumberFormat="1" applyFont="1" applyFill="1" applyAlignment="1">
      <alignment horizontal="right"/>
    </xf>
    <xf numFmtId="1" fontId="13" fillId="0" borderId="0" xfId="4" applyNumberFormat="1" applyFont="1" applyFill="1"/>
    <xf numFmtId="166" fontId="13" fillId="0" borderId="0" xfId="3" applyNumberFormat="1" applyFont="1" applyFill="1" applyBorder="1"/>
    <xf numFmtId="168" fontId="13" fillId="0" borderId="0" xfId="4" applyNumberFormat="1" applyFont="1" applyFill="1"/>
    <xf numFmtId="166" fontId="13" fillId="0" borderId="0" xfId="4" applyNumberFormat="1" applyFont="1" applyFill="1"/>
    <xf numFmtId="0" fontId="12" fillId="0" borderId="0" xfId="0" applyFont="1" applyFill="1"/>
    <xf numFmtId="10" fontId="20" fillId="0" borderId="0" xfId="3" applyNumberFormat="1" applyFont="1" applyFill="1" applyBorder="1"/>
    <xf numFmtId="0" fontId="12" fillId="0" borderId="0" xfId="0" applyFont="1"/>
    <xf numFmtId="0" fontId="12" fillId="0" borderId="0" xfId="0" applyFont="1" applyFill="1" applyAlignment="1">
      <alignment horizontal="centerContinuous"/>
    </xf>
    <xf numFmtId="0" fontId="12" fillId="0" borderId="5" xfId="0" applyFont="1" applyFill="1" applyBorder="1" applyAlignment="1">
      <alignment horizontal="center" wrapText="1"/>
    </xf>
    <xf numFmtId="0" fontId="12" fillId="0" borderId="5" xfId="0" quotePrefix="1" applyFont="1" applyFill="1" applyBorder="1" applyAlignment="1">
      <alignment horizontal="center" wrapText="1"/>
    </xf>
    <xf numFmtId="0" fontId="12" fillId="0" borderId="0" xfId="0" applyFont="1" applyFill="1" applyAlignment="1">
      <alignment horizontal="center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quotePrefix="1" applyFont="1" applyFill="1" applyAlignment="1">
      <alignment horizontal="center" vertical="top"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169" fontId="12" fillId="0" borderId="10" xfId="1" applyNumberFormat="1" applyFont="1" applyFill="1" applyBorder="1"/>
    <xf numFmtId="167" fontId="12" fillId="0" borderId="10" xfId="2" applyNumberFormat="1" applyFont="1" applyFill="1" applyBorder="1"/>
    <xf numFmtId="10" fontId="12" fillId="0" borderId="0" xfId="1" applyNumberFormat="1" applyFont="1" applyFill="1" applyBorder="1"/>
    <xf numFmtId="9" fontId="12" fillId="0" borderId="0" xfId="3" applyFont="1" applyFill="1"/>
    <xf numFmtId="10" fontId="12" fillId="0" borderId="0" xfId="3" applyNumberFormat="1" applyFont="1" applyFill="1"/>
    <xf numFmtId="167" fontId="12" fillId="0" borderId="0" xfId="2" applyNumberFormat="1" applyFont="1"/>
    <xf numFmtId="169" fontId="12" fillId="0" borderId="0" xfId="1" applyNumberFormat="1" applyFont="1" applyFill="1" applyBorder="1"/>
    <xf numFmtId="167" fontId="12" fillId="0" borderId="0" xfId="2" applyNumberFormat="1" applyFont="1" applyFill="1" applyBorder="1"/>
    <xf numFmtId="10" fontId="12" fillId="0" borderId="0" xfId="2" applyNumberFormat="1" applyFont="1" applyFill="1" applyBorder="1"/>
    <xf numFmtId="0" fontId="12" fillId="0" borderId="0" xfId="0" quotePrefix="1" applyFont="1" applyFill="1" applyAlignment="1">
      <alignment horizontal="left" indent="1"/>
    </xf>
    <xf numFmtId="0" fontId="12" fillId="0" borderId="0" xfId="0" quotePrefix="1" applyFont="1" applyFill="1" applyAlignment="1">
      <alignment horizontal="center"/>
    </xf>
    <xf numFmtId="3" fontId="12" fillId="0" borderId="0" xfId="2" applyNumberFormat="1" applyFont="1" applyFill="1" applyBorder="1"/>
    <xf numFmtId="0" fontId="12" fillId="0" borderId="0" xfId="0" quotePrefix="1" applyFont="1" applyAlignment="1">
      <alignment horizontal="center"/>
    </xf>
    <xf numFmtId="0" fontId="12" fillId="0" borderId="0" xfId="0" quotePrefix="1" applyFont="1" applyFill="1" applyAlignment="1">
      <alignment horizontal="left"/>
    </xf>
    <xf numFmtId="3" fontId="12" fillId="0" borderId="10" xfId="1" applyNumberFormat="1" applyFont="1" applyFill="1" applyBorder="1"/>
    <xf numFmtId="3" fontId="12" fillId="0" borderId="0" xfId="1" applyNumberFormat="1" applyFont="1" applyFill="1" applyBorder="1"/>
    <xf numFmtId="0" fontId="12" fillId="0" borderId="0" xfId="0" applyFont="1" applyFill="1" applyAlignment="1">
      <alignment horizontal="left" indent="1"/>
    </xf>
    <xf numFmtId="3" fontId="12" fillId="0" borderId="0" xfId="1" applyNumberFormat="1" applyFont="1" applyFill="1"/>
    <xf numFmtId="167" fontId="12" fillId="0" borderId="0" xfId="2" applyNumberFormat="1" applyFont="1" applyFill="1"/>
    <xf numFmtId="10" fontId="12" fillId="0" borderId="0" xfId="2" applyNumberFormat="1" applyFont="1" applyFill="1"/>
    <xf numFmtId="3" fontId="12" fillId="0" borderId="10" xfId="2" applyNumberFormat="1" applyFont="1" applyFill="1" applyBorder="1"/>
    <xf numFmtId="0" fontId="12" fillId="0" borderId="0" xfId="0" applyFont="1" applyFill="1" applyBorder="1"/>
    <xf numFmtId="169" fontId="12" fillId="0" borderId="0" xfId="1" applyNumberFormat="1" applyFont="1" applyFill="1"/>
    <xf numFmtId="169" fontId="12" fillId="0" borderId="14" xfId="1" applyNumberFormat="1" applyFont="1" applyFill="1" applyBorder="1"/>
    <xf numFmtId="167" fontId="12" fillId="0" borderId="14" xfId="2" applyNumberFormat="1" applyFont="1" applyFill="1" applyBorder="1"/>
    <xf numFmtId="10" fontId="12" fillId="0" borderId="14" xfId="3" applyNumberFormat="1" applyFont="1" applyFill="1" applyBorder="1"/>
    <xf numFmtId="44" fontId="12" fillId="0" borderId="0" xfId="2" applyNumberFormat="1" applyFont="1" applyFill="1" applyBorder="1"/>
    <xf numFmtId="167" fontId="12" fillId="0" borderId="0" xfId="0" applyNumberFormat="1" applyFont="1" applyFill="1"/>
    <xf numFmtId="9" fontId="19" fillId="0" borderId="21" xfId="3" applyFont="1" applyFill="1" applyBorder="1"/>
    <xf numFmtId="0" fontId="12" fillId="0" borderId="21" xfId="0" applyFont="1" applyFill="1" applyBorder="1"/>
    <xf numFmtId="10" fontId="12" fillId="0" borderId="16" xfId="0" applyNumberFormat="1" applyFont="1" applyFill="1" applyBorder="1"/>
    <xf numFmtId="10" fontId="12" fillId="0" borderId="18" xfId="3" applyNumberFormat="1" applyFont="1" applyFill="1" applyBorder="1"/>
    <xf numFmtId="0" fontId="12" fillId="0" borderId="18" xfId="0" applyFont="1" applyFill="1" applyBorder="1"/>
    <xf numFmtId="0" fontId="12" fillId="0" borderId="22" xfId="0" applyFont="1" applyBorder="1"/>
    <xf numFmtId="0" fontId="12" fillId="0" borderId="22" xfId="0" applyFont="1" applyFill="1" applyBorder="1"/>
    <xf numFmtId="10" fontId="19" fillId="0" borderId="20" xfId="3" applyNumberFormat="1" applyFont="1" applyFill="1" applyBorder="1"/>
    <xf numFmtId="0" fontId="19" fillId="0" borderId="0" xfId="0" quotePrefix="1" applyFont="1" applyFill="1" applyAlignment="1">
      <alignment wrapText="1"/>
    </xf>
    <xf numFmtId="0" fontId="12" fillId="0" borderId="0" xfId="0" quotePrefix="1" applyFont="1" applyFill="1" applyBorder="1" applyAlignment="1">
      <alignment horizontal="left"/>
    </xf>
    <xf numFmtId="0" fontId="13" fillId="0" borderId="5" xfId="4" applyFont="1" applyFill="1" applyBorder="1" applyAlignment="1">
      <alignment horizontal="center"/>
    </xf>
    <xf numFmtId="0" fontId="13" fillId="0" borderId="0" xfId="4" quotePrefix="1" applyFont="1" applyFill="1" applyAlignment="1">
      <alignment horizontal="left"/>
    </xf>
    <xf numFmtId="0" fontId="13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/>
    </xf>
    <xf numFmtId="0" fontId="12" fillId="0" borderId="0" xfId="40" applyFont="1" applyFill="1" applyAlignment="1">
      <alignment horizontal="center"/>
    </xf>
    <xf numFmtId="0" fontId="12" fillId="0" borderId="23" xfId="40" quotePrefix="1" applyFont="1" applyFill="1" applyBorder="1" applyAlignment="1">
      <alignment horizontal="center"/>
    </xf>
    <xf numFmtId="0" fontId="12" fillId="0" borderId="24" xfId="40" quotePrefix="1" applyFont="1" applyFill="1" applyBorder="1" applyAlignment="1">
      <alignment horizontal="center"/>
    </xf>
    <xf numFmtId="0" fontId="12" fillId="0" borderId="25" xfId="40" quotePrefix="1" applyFont="1" applyFill="1" applyBorder="1" applyAlignment="1">
      <alignment horizontal="center"/>
    </xf>
    <xf numFmtId="0" fontId="12" fillId="0" borderId="0" xfId="40" quotePrefix="1" applyFont="1" applyFill="1" applyBorder="1" applyAlignment="1">
      <alignment horizontal="left" vertical="top"/>
    </xf>
    <xf numFmtId="0" fontId="12" fillId="0" borderId="19" xfId="0" quotePrefix="1" applyFont="1" applyFill="1" applyBorder="1" applyAlignment="1">
      <alignment horizontal="left"/>
    </xf>
    <xf numFmtId="0" fontId="12" fillId="0" borderId="22" xfId="0" quotePrefix="1" applyFont="1" applyFill="1" applyBorder="1" applyAlignment="1">
      <alignment horizontal="left"/>
    </xf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15" xfId="0" quotePrefix="1" applyFont="1" applyFill="1" applyBorder="1" applyAlignment="1">
      <alignment horizontal="left"/>
    </xf>
    <xf numFmtId="0" fontId="12" fillId="0" borderId="21" xfId="0" quotePrefix="1" applyFont="1" applyFill="1" applyBorder="1" applyAlignment="1">
      <alignment horizontal="left"/>
    </xf>
    <xf numFmtId="0" fontId="12" fillId="0" borderId="17" xfId="0" quotePrefix="1" applyFont="1" applyFill="1" applyBorder="1" applyAlignment="1">
      <alignment horizontal="left"/>
    </xf>
    <xf numFmtId="0" fontId="12" fillId="0" borderId="0" xfId="0" quotePrefix="1" applyFont="1" applyFill="1" applyBorder="1" applyAlignment="1">
      <alignment horizontal="left"/>
    </xf>
    <xf numFmtId="0" fontId="12" fillId="0" borderId="17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4" quotePrefix="1" applyFont="1" applyFill="1" applyAlignment="1">
      <alignment horizontal="center" wrapText="1"/>
    </xf>
    <xf numFmtId="0" fontId="13" fillId="0" borderId="0" xfId="4" applyFont="1" applyFill="1" applyAlignment="1">
      <alignment horizontal="center" wrapText="1"/>
    </xf>
    <xf numFmtId="0" fontId="13" fillId="0" borderId="1" xfId="4" quotePrefix="1" applyFont="1" applyFill="1" applyBorder="1" applyAlignment="1">
      <alignment horizontal="center"/>
    </xf>
    <xf numFmtId="0" fontId="13" fillId="0" borderId="2" xfId="4" applyFont="1" applyFill="1" applyBorder="1" applyAlignment="1">
      <alignment horizontal="center"/>
    </xf>
    <xf numFmtId="0" fontId="13" fillId="0" borderId="3" xfId="4" applyFont="1" applyFill="1" applyBorder="1" applyAlignment="1">
      <alignment horizontal="center"/>
    </xf>
    <xf numFmtId="0" fontId="13" fillId="0" borderId="4" xfId="4" applyFont="1" applyFill="1" applyBorder="1" applyAlignment="1">
      <alignment horizontal="center"/>
    </xf>
    <xf numFmtId="0" fontId="13" fillId="0" borderId="5" xfId="4" applyFont="1" applyFill="1" applyBorder="1" applyAlignment="1">
      <alignment horizontal="center"/>
    </xf>
    <xf numFmtId="0" fontId="13" fillId="0" borderId="6" xfId="4" applyFont="1" applyFill="1" applyBorder="1" applyAlignment="1">
      <alignment horizontal="center"/>
    </xf>
    <xf numFmtId="0" fontId="13" fillId="0" borderId="0" xfId="4" applyFont="1" applyFill="1" applyAlignment="1">
      <alignment horizontal="left"/>
    </xf>
    <xf numFmtId="0" fontId="13" fillId="0" borderId="0" xfId="4" quotePrefix="1" applyFont="1" applyFill="1" applyAlignment="1">
      <alignment horizontal="left"/>
    </xf>
    <xf numFmtId="0" fontId="14" fillId="0" borderId="0" xfId="0" quotePrefix="1" applyFont="1" applyFill="1" applyAlignment="1" applyProtection="1">
      <alignment horizontal="center"/>
    </xf>
    <xf numFmtId="0" fontId="14" fillId="0" borderId="9" xfId="0" applyFont="1" applyFill="1" applyBorder="1" applyAlignment="1" applyProtection="1">
      <alignment horizontal="center"/>
    </xf>
    <xf numFmtId="0" fontId="14" fillId="0" borderId="10" xfId="0" applyFont="1" applyFill="1" applyBorder="1" applyAlignment="1" applyProtection="1">
      <alignment horizontal="center"/>
    </xf>
    <xf numFmtId="0" fontId="14" fillId="0" borderId="11" xfId="0" applyFont="1" applyFill="1" applyBorder="1" applyAlignment="1" applyProtection="1">
      <alignment horizontal="center"/>
    </xf>
    <xf numFmtId="0" fontId="14" fillId="0" borderId="9" xfId="0" quotePrefix="1" applyFont="1" applyFill="1" applyBorder="1" applyAlignment="1" applyProtection="1">
      <alignment horizontal="center"/>
    </xf>
    <xf numFmtId="0" fontId="13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13" fillId="0" borderId="2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0" fontId="13" fillId="0" borderId="0" xfId="0" quotePrefix="1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3" fillId="0" borderId="26" xfId="0" applyFont="1" applyFill="1" applyBorder="1" applyAlignment="1">
      <alignment horizontal="left" wrapText="1"/>
    </xf>
    <xf numFmtId="0" fontId="14" fillId="0" borderId="10" xfId="0" quotePrefix="1" applyFont="1" applyFill="1" applyBorder="1" applyAlignment="1" applyProtection="1">
      <alignment horizontal="center"/>
    </xf>
    <xf numFmtId="0" fontId="14" fillId="0" borderId="11" xfId="0" quotePrefix="1" applyFont="1" applyFill="1" applyBorder="1" applyAlignment="1" applyProtection="1">
      <alignment horizontal="center"/>
    </xf>
    <xf numFmtId="0" fontId="15" fillId="0" borderId="9" xfId="0" quotePrefix="1" applyFont="1" applyFill="1" applyBorder="1" applyAlignment="1" applyProtection="1">
      <alignment horizontal="center"/>
    </xf>
    <xf numFmtId="0" fontId="15" fillId="0" borderId="10" xfId="0" applyFont="1" applyFill="1" applyBorder="1" applyAlignment="1" applyProtection="1">
      <alignment horizontal="center"/>
    </xf>
    <xf numFmtId="0" fontId="15" fillId="0" borderId="11" xfId="0" applyFont="1" applyFill="1" applyBorder="1" applyAlignment="1" applyProtection="1">
      <alignment horizontal="center"/>
    </xf>
    <xf numFmtId="0" fontId="16" fillId="0" borderId="0" xfId="0" quotePrefix="1" applyFont="1" applyFill="1" applyAlignment="1" applyProtection="1">
      <alignment horizontal="left"/>
    </xf>
    <xf numFmtId="0" fontId="15" fillId="0" borderId="9" xfId="0" applyFont="1" applyFill="1" applyBorder="1" applyAlignment="1" applyProtection="1">
      <alignment horizontal="center"/>
    </xf>
    <xf numFmtId="0" fontId="15" fillId="0" borderId="9" xfId="0" quotePrefix="1" applyFont="1" applyFill="1" applyBorder="1" applyAlignment="1" applyProtection="1">
      <alignment horizontal="center" wrapText="1"/>
    </xf>
    <xf numFmtId="0" fontId="15" fillId="0" borderId="10" xfId="0" applyFont="1" applyFill="1" applyBorder="1" applyAlignment="1" applyProtection="1">
      <alignment horizontal="center" wrapText="1"/>
    </xf>
    <xf numFmtId="0" fontId="15" fillId="0" borderId="11" xfId="0" applyFont="1" applyFill="1" applyBorder="1" applyAlignment="1" applyProtection="1">
      <alignment horizontal="center" wrapText="1"/>
    </xf>
    <xf numFmtId="0" fontId="14" fillId="0" borderId="0" xfId="0" quotePrefix="1" applyNumberFormat="1" applyFont="1" applyFill="1" applyAlignment="1">
      <alignment horizontal="center"/>
    </xf>
    <xf numFmtId="9" fontId="12" fillId="0" borderId="0" xfId="0" applyNumberFormat="1" applyFont="1" applyFill="1"/>
    <xf numFmtId="44" fontId="12" fillId="0" borderId="0" xfId="0" applyNumberFormat="1" applyFont="1" applyFill="1"/>
    <xf numFmtId="0" fontId="12" fillId="0" borderId="0" xfId="0" quotePrefix="1" applyFont="1" applyFill="1" applyBorder="1" applyAlignment="1">
      <alignment horizontal="left" indent="1"/>
    </xf>
    <xf numFmtId="10" fontId="12" fillId="0" borderId="0" xfId="0" applyNumberFormat="1" applyFont="1" applyFill="1"/>
    <xf numFmtId="0" fontId="14" fillId="0" borderId="0" xfId="4" quotePrefix="1" applyFont="1" applyFill="1" applyAlignment="1">
      <alignment horizontal="center"/>
    </xf>
    <xf numFmtId="0" fontId="14" fillId="0" borderId="0" xfId="4" quotePrefix="1" applyFont="1" applyFill="1" applyAlignment="1"/>
    <xf numFmtId="0" fontId="14" fillId="0" borderId="0" xfId="4" applyFont="1" applyFill="1" applyAlignment="1">
      <alignment horizontal="center"/>
    </xf>
    <xf numFmtId="0" fontId="14" fillId="0" borderId="0" xfId="4" applyFont="1" applyFill="1" applyAlignment="1"/>
    <xf numFmtId="0" fontId="14" fillId="0" borderId="0" xfId="4" quotePrefix="1" applyFont="1" applyFill="1" applyAlignment="1">
      <alignment horizontal="center"/>
    </xf>
    <xf numFmtId="0" fontId="14" fillId="0" borderId="0" xfId="4" applyFont="1" applyFill="1" applyBorder="1" applyAlignment="1">
      <alignment horizontal="center"/>
    </xf>
    <xf numFmtId="0" fontId="20" fillId="0" borderId="0" xfId="4" applyFont="1" applyFill="1" applyBorder="1" applyAlignment="1">
      <alignment horizontal="center"/>
    </xf>
    <xf numFmtId="0" fontId="20" fillId="0" borderId="0" xfId="4" quotePrefix="1" applyFont="1" applyFill="1" applyBorder="1" applyAlignment="1">
      <alignment horizontal="center"/>
    </xf>
    <xf numFmtId="0" fontId="21" fillId="0" borderId="0" xfId="4" quotePrefix="1" applyFont="1" applyFill="1" applyAlignment="1">
      <alignment horizontal="left"/>
    </xf>
    <xf numFmtId="0" fontId="14" fillId="0" borderId="0" xfId="4" quotePrefix="1" applyFont="1" applyFill="1" applyAlignment="1">
      <alignment horizontal="left" indent="1"/>
    </xf>
    <xf numFmtId="0" fontId="14" fillId="0" borderId="0" xfId="4" applyFont="1" applyFill="1"/>
    <xf numFmtId="0" fontId="19" fillId="0" borderId="0" xfId="0" applyFont="1" applyFill="1" applyAlignment="1">
      <alignment horizontal="left"/>
    </xf>
  </cellXfs>
  <cellStyles count="76">
    <cellStyle name="_4.06E Pass Throughs_04 07E Wild Horse Wind Expansion (C) (2)_Electric Rev Req Model (2009 GRC) " xfId="41"/>
    <cellStyle name="_4.13E Montana Energy Tax_04 07E Wild Horse Wind Expansion (C) (2)_Electric Rev Req Model (2009 GRC) " xfId="42"/>
    <cellStyle name="_Book1 (2)_04 07E Wild Horse Wind Expansion (C) (2)_Electric Rev Req Model (2009 GRC) " xfId="43"/>
    <cellStyle name="_Book2_04 07E Wild Horse Wind Expansion (C) (2)_Electric Rev Req Model (2009 GRC) " xfId="44"/>
    <cellStyle name="_Costs not in AURORA 06GRC_04 07E Wild Horse Wind Expansion (C) (2)_Electric Rev Req Model (2009 GRC) " xfId="45"/>
    <cellStyle name="_Costs not in AURORA 2006GRC 6.15.06_04 07E Wild Horse Wind Expansion (C) (2)_Electric Rev Req Model (2009 GRC) " xfId="46"/>
    <cellStyle name="_Costs not in AURORA 2006GRC w gas price updated_Electric Rev Req Model (2009 GRC) " xfId="47"/>
    <cellStyle name="_DEM-WP (C) Power Cost 2006GRC Order_04 07E Wild Horse Wind Expansion (C) (2)_Electric Rev Req Model (2009 GRC) " xfId="48"/>
    <cellStyle name="_DEM-WP Revised (HC) Wild Horse 2006GRC_Electric Rev Req Model (2009 GRC) " xfId="49"/>
    <cellStyle name="_DEM-WP(C) Costs not in AURORA 2007GRC_Electric Rev Req Model (2009 GRC) " xfId="50"/>
    <cellStyle name="_DEM-WP(C) Costs not in AURORA 2007PCORC-5.07Update_Electric Rev Req Model (2009 GRC) " xfId="51"/>
    <cellStyle name="_DEM-WP(C) Westside Hydro Data_051007_Electric Rev Req Model (2009 GRC) " xfId="52"/>
    <cellStyle name="_x0013__Electric Rev Req Model (2009 GRC) " xfId="53"/>
    <cellStyle name="_Fuel Prices 4-14_04 07E Wild Horse Wind Expansion (C) (2)_Electric Rev Req Model (2009 GRC) " xfId="54"/>
    <cellStyle name="_Fuel Prices 4-14_Sch 40 Interim Energy Rates " xfId="55"/>
    <cellStyle name="_NIM 06 Base Case Current Trends_Electric Rev Req Model (2009 GRC) " xfId="56"/>
    <cellStyle name="_Portfolio SPlan Base Case.xls Chart 1_Electric Rev Req Model (2009 GRC) " xfId="57"/>
    <cellStyle name="_Portfolio SPlan Base Case.xls Chart 2_Electric Rev Req Model (2009 GRC) " xfId="58"/>
    <cellStyle name="_Portfolio SPlan Base Case.xls Chart 3_Electric Rev Req Model (2009 GRC) " xfId="59"/>
    <cellStyle name="_Power Cost Value Copy 11.30.05 gas 1.09.06 AURORA at 1.10.06_04 07E Wild Horse Wind Expansion (C) (2)_Electric Rev Req Model (2009 GRC) " xfId="60"/>
    <cellStyle name="_Power Cost Value Copy 11.30.05 gas 1.09.06 AURORA at 1.10.06_Sch 40 Interim Energy Rates " xfId="61"/>
    <cellStyle name="_Value Copy 11 30 05 gas 12 09 05 AURORA at 12 14 05_04 07E Wild Horse Wind Expansion (C) (2)_Electric Rev Req Model (2009 GRC) " xfId="62"/>
    <cellStyle name="_Value Copy 11 30 05 gas 12 09 05 AURORA at 12 14 05_Sch 40 Interim Energy Rates " xfId="63"/>
    <cellStyle name="_VC 6.15.06 update on 06GRC power costs.xls Chart 1_04 07E Wild Horse Wind Expansion (C) (2)_Electric Rev Req Model (2009 GRC) " xfId="64"/>
    <cellStyle name="_VC 6.15.06 update on 06GRC power costs.xls Chart 2_04 07E Wild Horse Wind Expansion (C) (2)_Electric Rev Req Model (2009 GRC) " xfId="65"/>
    <cellStyle name="_VC 6.15.06 update on 06GRC power costs.xls Chart 3_04 07E Wild Horse Wind Expansion (C) (2)_Electric Rev Req Model (2009 GRC) " xfId="66"/>
    <cellStyle name="Comma" xfId="1" builtinId="3"/>
    <cellStyle name="Comma 10" xfId="67"/>
    <cellStyle name="Comma 2" xfId="9"/>
    <cellStyle name="Comma 2 2" xfId="10"/>
    <cellStyle name="Comma 2 3" xfId="68"/>
    <cellStyle name="Comma 3" xfId="11"/>
    <cellStyle name="Comma 4" xfId="12"/>
    <cellStyle name="Currency" xfId="2" builtinId="4"/>
    <cellStyle name="Currency 10" xfId="69"/>
    <cellStyle name="Currency 2" xfId="13"/>
    <cellStyle name="Currency 2 2 5" xfId="70"/>
    <cellStyle name="Currency 2 3" xfId="71"/>
    <cellStyle name="Currency 3" xfId="14"/>
    <cellStyle name="General" xfId="15"/>
    <cellStyle name="Marathon" xfId="16"/>
    <cellStyle name="nONE" xfId="17"/>
    <cellStyle name="Normal" xfId="0" builtinId="0"/>
    <cellStyle name="Normal - Style1 5 4" xfId="72"/>
    <cellStyle name="Normal 10" xfId="18"/>
    <cellStyle name="Normal 11" xfId="19"/>
    <cellStyle name="Normal 12" xfId="20"/>
    <cellStyle name="Normal 13" xfId="21"/>
    <cellStyle name="Normal 14" xfId="22"/>
    <cellStyle name="Normal 15" xfId="23"/>
    <cellStyle name="Normal 16" xfId="24"/>
    <cellStyle name="Normal 17" xfId="25"/>
    <cellStyle name="Normal 18" xfId="40"/>
    <cellStyle name="Normal 2" xfId="26"/>
    <cellStyle name="Normal 2 2" xfId="27"/>
    <cellStyle name="Normal 22 6" xfId="73"/>
    <cellStyle name="Normal 3" xfId="28"/>
    <cellStyle name="Normal 3 2" xfId="29"/>
    <cellStyle name="Normal 4" xfId="30"/>
    <cellStyle name="Normal 4 2" xfId="31"/>
    <cellStyle name="Normal 5" xfId="32"/>
    <cellStyle name="Normal 6" xfId="33"/>
    <cellStyle name="Normal 7" xfId="7"/>
    <cellStyle name="Normal 8" xfId="34"/>
    <cellStyle name="Normal 9" xfId="35"/>
    <cellStyle name="Normal_EAST Blocking 901 2" xfId="5"/>
    <cellStyle name="Normal_East for 38.6M" xfId="8"/>
    <cellStyle name="Normal_OR Blocking 04" xfId="6"/>
    <cellStyle name="Normal_WA98" xfId="4"/>
    <cellStyle name="Percent" xfId="3" builtinId="5"/>
    <cellStyle name="Percent 10 4" xfId="74"/>
    <cellStyle name="Percent 2" xfId="36"/>
    <cellStyle name="Percent 2 3" xfId="75"/>
    <cellStyle name="Percent 3" xfId="37"/>
    <cellStyle name="Percent 3 2" xfId="38"/>
    <cellStyle name="TRANSMISSION RELIABILITY PORTION OF PROJECT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sharedStrings" Target="sharedStrings.xml"/><Relationship Id="rId47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theme" Target="theme/theme1.xml"/><Relationship Id="rId45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22-05%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09-05-JAM%20updat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SB%201149/JAM%20OR%20Dec%202001%20-%20SB114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Large%20Qf's\Qf03\FALLS\Falls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Idaho%2003/305FRevenue%20by%20Rate%20Schedule_ID200303_v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WA%202013%20GRC%20(Docket%20UE-xxxxxx)/Filed/Direct/Exhibit%20No_(CCP-5)/Tab%204%20&amp;%205/COS%20WA%20June%202012%20(TempAdj-chg%20to%20St%20Lgts%20only)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CASES/Wyoming98/East%20West%20Rate%20Migr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SES/Wyoming98/EAST97%20B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12-05-JAM%20updat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W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SystemSegCosts/03/Washington/MC_Washington_200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12/RECOV12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09653/My%20Documents/Oregon%20Rate%20Case/SB%201149/Rebuttal/MC%20OR%202001%20Rebutta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Oregon%2099/Portfolio/TOU%20Tariff%20Rates%209-10-0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305A/Book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Wash98/Stipulation/WA98%20with%20deferral%20separat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Wash%2002/Year%203%20of%20stipulation%201-1-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AFOR%207-1-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WA%20GRC%2007/COS/COS%20WA%20GRC%20June%20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3-2006%20GRC/COS/Wash%20Mar%202006-09-7-20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2013%20GRC%20(Docket%20UE-xxxxxx)/COS/Direct/COS%20WA%20June%202012%20-%20N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Req"/>
      <sheetName val="Inputs"/>
      <sheetName val="Actual"/>
      <sheetName val="Blocking Yr 2002"/>
      <sheetName val="Blocking Yr 2003"/>
      <sheetName val="Table A yr 2001"/>
      <sheetName val="Table A yr 2002"/>
      <sheetName val="Table A yr 2003"/>
      <sheetName val="Table A summary"/>
      <sheetName val="Centralia Mining"/>
      <sheetName val="Spec Conts"/>
      <sheetName val="BPA Present"/>
      <sheetName val="Unbilled"/>
      <sheetName val="Weather"/>
      <sheetName val="Weather revised"/>
      <sheetName val="Weather Present"/>
      <sheetName val="Table 1"/>
      <sheetName val="Table 2"/>
      <sheetName val="Table 3"/>
      <sheetName val="New 24v36 yr 2001"/>
      <sheetName val="New 24v36 yr 2002"/>
      <sheetName val="New 24v36 yr 2003"/>
      <sheetName val="48 vs 36"/>
      <sheetName val="48 vs 36 Proposed"/>
      <sheetName val="Lighting SBC"/>
      <sheetName val="SBC"/>
      <sheetName val="SBC Stipulation P"/>
      <sheetName val="Stipulation Table A calculated"/>
      <sheetName val="Stipulation Blocking sch 16,18"/>
      <sheetName val="Sch16 Yr 2002"/>
      <sheetName val="Sch16 Yr 2003"/>
      <sheetName val="Stipulation Blocking sch 48T"/>
      <sheetName val="Stipulated Propose tariff rates"/>
      <sheetName val="Stip Table A w defer separate"/>
      <sheetName val="Blocking Yr 2001"/>
      <sheetName val="Deferral"/>
      <sheetName val="Deferral (2)"/>
      <sheetName val="Merger Credit"/>
      <sheetName val="Centralia Credit"/>
      <sheetName val="Centralia Credit lighting avg"/>
      <sheetName val="SBC Stipulation revised"/>
      <sheetName val="Table A Year 2001 All Filings"/>
      <sheetName val="Tab A Yr 2001 All Filings cr=-"/>
      <sheetName val="Tab A Yr 01 All Filings cr rev"/>
      <sheetName val="Table A Year 2001 base rates"/>
      <sheetName val="Sch16 Yr 2001"/>
      <sheetName val="Sch24 Yr 2001"/>
      <sheetName val="Sch36 Yr 2001"/>
      <sheetName val="Sch40 Yr 2001"/>
      <sheetName val="Sch48 Yr 2001"/>
      <sheetName val="Order to apply tariffs"/>
      <sheetName val="cover"/>
      <sheetName val="rate filings"/>
      <sheetName val="Sch38 to 24 Yr 2001 "/>
      <sheetName val="Sch42 to 24 Yr 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A Yr 2003 Change"/>
      <sheetName val="Blocking Yr 2003"/>
      <sheetName val="Sch16 Yr 2003 Net"/>
      <sheetName val="Sch24 Yr 2003 Net"/>
      <sheetName val="Sch36 Yr 2003 Net"/>
      <sheetName val="Sch40 Yr 2003 Net"/>
      <sheetName val="Sch48 Yr 2003 Net"/>
      <sheetName val="Tab A Yr 2003 incl SBC change"/>
      <sheetName val="Sheet1"/>
      <sheetName val="Tab A Yr 2002 Change revised"/>
      <sheetName val="Tab A Yr 2002 Change"/>
      <sheetName val="Tab A Yr 2002 All Filings cr=-"/>
      <sheetName val="Stip Table A w defer separate"/>
      <sheetName val="Blocking Yr 2002"/>
      <sheetName val="BPA qualifying kWh summary"/>
      <sheetName val="BPA qualifying kWh detail sent"/>
      <sheetName val="Sch16 Yr 2002 BPA"/>
      <sheetName val="Sch24 Yr 2002 (2)"/>
      <sheetName val="Sch36 Yr 2002 (2)"/>
      <sheetName val="Sch40 Yr 2002 (2)"/>
      <sheetName val="Sch48 Yr 2002 (2)"/>
      <sheetName val="BPA qualifying kWh detail"/>
      <sheetName val="merger credit 2001"/>
      <sheetName val="Tab A Yr 2001 All Filings cr=-"/>
      <sheetName val="RevReq"/>
      <sheetName val="Inputs"/>
      <sheetName val="Actual"/>
      <sheetName val="Table A yr 2001"/>
      <sheetName val="Table A yr 2002"/>
      <sheetName val="Table A yr 2003"/>
      <sheetName val="Table A summary"/>
      <sheetName val="Centralia Mining"/>
      <sheetName val="Spec Conts"/>
      <sheetName val="BPA Present"/>
      <sheetName val="Unbilled"/>
      <sheetName val="Weather"/>
      <sheetName val="Weather revised"/>
      <sheetName val="Weather Present"/>
      <sheetName val="Table 1"/>
      <sheetName val="Table 2"/>
      <sheetName val="Table 3"/>
      <sheetName val="New 24v36 yr 2001"/>
      <sheetName val="New 24v36 yr 2002"/>
      <sheetName val="New 24v36 yr 2003"/>
      <sheetName val="48 vs 36"/>
      <sheetName val="48 vs 36 Proposed"/>
      <sheetName val="Lighting SBC"/>
      <sheetName val="SBC"/>
      <sheetName val="SBC Stipulation P"/>
      <sheetName val="Stipulation Table A calculated"/>
      <sheetName val="Stipulation Blocking sch 16,18"/>
      <sheetName val="Sch16 Yr 2002"/>
      <sheetName val="Sch16 Yr 2003"/>
      <sheetName val="Stipulation Blocking sch 48T"/>
      <sheetName val="Stipulated Propose tariff rates"/>
      <sheetName val="Blocking Yr 2001"/>
      <sheetName val="Deferral"/>
      <sheetName val="Deferral (2)"/>
      <sheetName val="Merger Credit"/>
      <sheetName val="Centralia Credit"/>
      <sheetName val="Centralia Credit lighting avg"/>
      <sheetName val="SBC Stipulation revised"/>
      <sheetName val="Table A Year 2001 All Filings"/>
      <sheetName val="Tab A Yr 01 All Filings cr rev"/>
      <sheetName val="Table A Year 2001 base rates"/>
      <sheetName val="Sch16 Yr 2001"/>
      <sheetName val="Sch24 Yr 2001"/>
      <sheetName val="Sch36 Yr 2001"/>
      <sheetName val="Sch40 Yr 2001"/>
      <sheetName val="Sch48 Yr 2001"/>
      <sheetName val="Order to apply tariffs"/>
      <sheetName val="cover"/>
      <sheetName val="rate filings"/>
      <sheetName val="Sch38 to 24 Yr 2001 "/>
      <sheetName val="Sch42 to 24 Yr 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Summary"/>
      <sheetName val="Combined"/>
      <sheetName val="BillSPRD"/>
      <sheetName val="Rate Design"/>
      <sheetName val="DSM-Combined"/>
      <sheetName val="DSM-191"/>
      <sheetName val="DSM-192"/>
      <sheetName val="Decoupling"/>
      <sheetName val="D-R"/>
      <sheetName val="D-C"/>
      <sheetName val="D-I"/>
      <sheetName val="D-T"/>
      <sheetName val="FullSPRD"/>
      <sheetName val="AllowSPD"/>
      <sheetName val="DSM2"/>
      <sheetName val="Decoupling S"/>
      <sheetName val="Table 1"/>
      <sheetName val="Sch 4"/>
      <sheetName val="Sch 25"/>
      <sheetName val="Sch 27"/>
      <sheetName val="Sch 48T"/>
      <sheetName val="Sch 41"/>
      <sheetName val="Sch 47T"/>
      <sheetName val="Sch 6"/>
      <sheetName val="Sch 15"/>
      <sheetName val="Sch 50"/>
      <sheetName val="Sch 51"/>
      <sheetName val="Sch 52"/>
      <sheetName val="Sch 53"/>
      <sheetName val="Sch 5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80"/>
  <sheetViews>
    <sheetView view="pageBreakPreview" zoomScale="60" zoomScaleNormal="100" workbookViewId="0">
      <pane xSplit="3" ySplit="6" topLeftCell="D7" activePane="bottomRight" state="frozen"/>
      <selection sqref="A1:XFD1048576"/>
      <selection pane="topRight" sqref="A1:XFD1048576"/>
      <selection pane="bottomLeft" sqref="A1:XFD1048576"/>
      <selection pane="bottomRight" activeCell="C44" sqref="C44"/>
    </sheetView>
  </sheetViews>
  <sheetFormatPr defaultColWidth="8.25" defaultRowHeight="12.75"/>
  <cols>
    <col min="1" max="1" width="4" style="1" bestFit="1" customWidth="1"/>
    <col min="2" max="2" width="9.875" style="1" customWidth="1"/>
    <col min="3" max="3" width="56.125" style="1" bestFit="1" customWidth="1"/>
    <col min="4" max="4" width="13" style="1" customWidth="1"/>
    <col min="5" max="5" width="14.125" style="1" customWidth="1"/>
    <col min="6" max="6" width="11.75" style="1" customWidth="1"/>
    <col min="7" max="7" width="2.875" style="1" customWidth="1"/>
    <col min="8" max="8" width="13" style="1" bestFit="1" customWidth="1"/>
    <col min="9" max="9" width="14.875" style="1" bestFit="1" customWidth="1"/>
    <col min="10" max="10" width="13" style="1" bestFit="1" customWidth="1"/>
    <col min="11" max="256" width="8.25" style="1"/>
    <col min="257" max="257" width="4" style="1" bestFit="1" customWidth="1"/>
    <col min="258" max="258" width="9.875" style="1" customWidth="1"/>
    <col min="259" max="259" width="56.125" style="1" bestFit="1" customWidth="1"/>
    <col min="260" max="260" width="13" style="1" customWidth="1"/>
    <col min="261" max="261" width="11.25" style="1" bestFit="1" customWidth="1"/>
    <col min="262" max="262" width="11.75" style="1" customWidth="1"/>
    <col min="263" max="263" width="2.875" style="1" customWidth="1"/>
    <col min="264" max="264" width="13" style="1" bestFit="1" customWidth="1"/>
    <col min="265" max="265" width="14.875" style="1" bestFit="1" customWidth="1"/>
    <col min="266" max="266" width="13" style="1" bestFit="1" customWidth="1"/>
    <col min="267" max="512" width="8.25" style="1"/>
    <col min="513" max="513" width="4" style="1" bestFit="1" customWidth="1"/>
    <col min="514" max="514" width="9.875" style="1" customWidth="1"/>
    <col min="515" max="515" width="56.125" style="1" bestFit="1" customWidth="1"/>
    <col min="516" max="516" width="13" style="1" customWidth="1"/>
    <col min="517" max="517" width="11.25" style="1" bestFit="1" customWidth="1"/>
    <col min="518" max="518" width="11.75" style="1" customWidth="1"/>
    <col min="519" max="519" width="2.875" style="1" customWidth="1"/>
    <col min="520" max="520" width="13" style="1" bestFit="1" customWidth="1"/>
    <col min="521" max="521" width="14.875" style="1" bestFit="1" customWidth="1"/>
    <col min="522" max="522" width="13" style="1" bestFit="1" customWidth="1"/>
    <col min="523" max="768" width="8.25" style="1"/>
    <col min="769" max="769" width="4" style="1" bestFit="1" customWidth="1"/>
    <col min="770" max="770" width="9.875" style="1" customWidth="1"/>
    <col min="771" max="771" width="56.125" style="1" bestFit="1" customWidth="1"/>
    <col min="772" max="772" width="13" style="1" customWidth="1"/>
    <col min="773" max="773" width="11.25" style="1" bestFit="1" customWidth="1"/>
    <col min="774" max="774" width="11.75" style="1" customWidth="1"/>
    <col min="775" max="775" width="2.875" style="1" customWidth="1"/>
    <col min="776" max="776" width="13" style="1" bestFit="1" customWidth="1"/>
    <col min="777" max="777" width="14.875" style="1" bestFit="1" customWidth="1"/>
    <col min="778" max="778" width="13" style="1" bestFit="1" customWidth="1"/>
    <col min="779" max="1024" width="8.25" style="1"/>
    <col min="1025" max="1025" width="4" style="1" bestFit="1" customWidth="1"/>
    <col min="1026" max="1026" width="9.875" style="1" customWidth="1"/>
    <col min="1027" max="1027" width="56.125" style="1" bestFit="1" customWidth="1"/>
    <col min="1028" max="1028" width="13" style="1" customWidth="1"/>
    <col min="1029" max="1029" width="11.25" style="1" bestFit="1" customWidth="1"/>
    <col min="1030" max="1030" width="11.75" style="1" customWidth="1"/>
    <col min="1031" max="1031" width="2.875" style="1" customWidth="1"/>
    <col min="1032" max="1032" width="13" style="1" bestFit="1" customWidth="1"/>
    <col min="1033" max="1033" width="14.875" style="1" bestFit="1" customWidth="1"/>
    <col min="1034" max="1034" width="13" style="1" bestFit="1" customWidth="1"/>
    <col min="1035" max="1280" width="8.25" style="1"/>
    <col min="1281" max="1281" width="4" style="1" bestFit="1" customWidth="1"/>
    <col min="1282" max="1282" width="9.875" style="1" customWidth="1"/>
    <col min="1283" max="1283" width="56.125" style="1" bestFit="1" customWidth="1"/>
    <col min="1284" max="1284" width="13" style="1" customWidth="1"/>
    <col min="1285" max="1285" width="11.25" style="1" bestFit="1" customWidth="1"/>
    <col min="1286" max="1286" width="11.75" style="1" customWidth="1"/>
    <col min="1287" max="1287" width="2.875" style="1" customWidth="1"/>
    <col min="1288" max="1288" width="13" style="1" bestFit="1" customWidth="1"/>
    <col min="1289" max="1289" width="14.875" style="1" bestFit="1" customWidth="1"/>
    <col min="1290" max="1290" width="13" style="1" bestFit="1" customWidth="1"/>
    <col min="1291" max="1536" width="8.25" style="1"/>
    <col min="1537" max="1537" width="4" style="1" bestFit="1" customWidth="1"/>
    <col min="1538" max="1538" width="9.875" style="1" customWidth="1"/>
    <col min="1539" max="1539" width="56.125" style="1" bestFit="1" customWidth="1"/>
    <col min="1540" max="1540" width="13" style="1" customWidth="1"/>
    <col min="1541" max="1541" width="11.25" style="1" bestFit="1" customWidth="1"/>
    <col min="1542" max="1542" width="11.75" style="1" customWidth="1"/>
    <col min="1543" max="1543" width="2.875" style="1" customWidth="1"/>
    <col min="1544" max="1544" width="13" style="1" bestFit="1" customWidth="1"/>
    <col min="1545" max="1545" width="14.875" style="1" bestFit="1" customWidth="1"/>
    <col min="1546" max="1546" width="13" style="1" bestFit="1" customWidth="1"/>
    <col min="1547" max="1792" width="8.25" style="1"/>
    <col min="1793" max="1793" width="4" style="1" bestFit="1" customWidth="1"/>
    <col min="1794" max="1794" width="9.875" style="1" customWidth="1"/>
    <col min="1795" max="1795" width="56.125" style="1" bestFit="1" customWidth="1"/>
    <col min="1796" max="1796" width="13" style="1" customWidth="1"/>
    <col min="1797" max="1797" width="11.25" style="1" bestFit="1" customWidth="1"/>
    <col min="1798" max="1798" width="11.75" style="1" customWidth="1"/>
    <col min="1799" max="1799" width="2.875" style="1" customWidth="1"/>
    <col min="1800" max="1800" width="13" style="1" bestFit="1" customWidth="1"/>
    <col min="1801" max="1801" width="14.875" style="1" bestFit="1" customWidth="1"/>
    <col min="1802" max="1802" width="13" style="1" bestFit="1" customWidth="1"/>
    <col min="1803" max="2048" width="8.25" style="1"/>
    <col min="2049" max="2049" width="4" style="1" bestFit="1" customWidth="1"/>
    <col min="2050" max="2050" width="9.875" style="1" customWidth="1"/>
    <col min="2051" max="2051" width="56.125" style="1" bestFit="1" customWidth="1"/>
    <col min="2052" max="2052" width="13" style="1" customWidth="1"/>
    <col min="2053" max="2053" width="11.25" style="1" bestFit="1" customWidth="1"/>
    <col min="2054" max="2054" width="11.75" style="1" customWidth="1"/>
    <col min="2055" max="2055" width="2.875" style="1" customWidth="1"/>
    <col min="2056" max="2056" width="13" style="1" bestFit="1" customWidth="1"/>
    <col min="2057" max="2057" width="14.875" style="1" bestFit="1" customWidth="1"/>
    <col min="2058" max="2058" width="13" style="1" bestFit="1" customWidth="1"/>
    <col min="2059" max="2304" width="8.25" style="1"/>
    <col min="2305" max="2305" width="4" style="1" bestFit="1" customWidth="1"/>
    <col min="2306" max="2306" width="9.875" style="1" customWidth="1"/>
    <col min="2307" max="2307" width="56.125" style="1" bestFit="1" customWidth="1"/>
    <col min="2308" max="2308" width="13" style="1" customWidth="1"/>
    <col min="2309" max="2309" width="11.25" style="1" bestFit="1" customWidth="1"/>
    <col min="2310" max="2310" width="11.75" style="1" customWidth="1"/>
    <col min="2311" max="2311" width="2.875" style="1" customWidth="1"/>
    <col min="2312" max="2312" width="13" style="1" bestFit="1" customWidth="1"/>
    <col min="2313" max="2313" width="14.875" style="1" bestFit="1" customWidth="1"/>
    <col min="2314" max="2314" width="13" style="1" bestFit="1" customWidth="1"/>
    <col min="2315" max="2560" width="8.25" style="1"/>
    <col min="2561" max="2561" width="4" style="1" bestFit="1" customWidth="1"/>
    <col min="2562" max="2562" width="9.875" style="1" customWidth="1"/>
    <col min="2563" max="2563" width="56.125" style="1" bestFit="1" customWidth="1"/>
    <col min="2564" max="2564" width="13" style="1" customWidth="1"/>
    <col min="2565" max="2565" width="11.25" style="1" bestFit="1" customWidth="1"/>
    <col min="2566" max="2566" width="11.75" style="1" customWidth="1"/>
    <col min="2567" max="2567" width="2.875" style="1" customWidth="1"/>
    <col min="2568" max="2568" width="13" style="1" bestFit="1" customWidth="1"/>
    <col min="2569" max="2569" width="14.875" style="1" bestFit="1" customWidth="1"/>
    <col min="2570" max="2570" width="13" style="1" bestFit="1" customWidth="1"/>
    <col min="2571" max="2816" width="8.25" style="1"/>
    <col min="2817" max="2817" width="4" style="1" bestFit="1" customWidth="1"/>
    <col min="2818" max="2818" width="9.875" style="1" customWidth="1"/>
    <col min="2819" max="2819" width="56.125" style="1" bestFit="1" customWidth="1"/>
    <col min="2820" max="2820" width="13" style="1" customWidth="1"/>
    <col min="2821" max="2821" width="11.25" style="1" bestFit="1" customWidth="1"/>
    <col min="2822" max="2822" width="11.75" style="1" customWidth="1"/>
    <col min="2823" max="2823" width="2.875" style="1" customWidth="1"/>
    <col min="2824" max="2824" width="13" style="1" bestFit="1" customWidth="1"/>
    <col min="2825" max="2825" width="14.875" style="1" bestFit="1" customWidth="1"/>
    <col min="2826" max="2826" width="13" style="1" bestFit="1" customWidth="1"/>
    <col min="2827" max="3072" width="8.25" style="1"/>
    <col min="3073" max="3073" width="4" style="1" bestFit="1" customWidth="1"/>
    <col min="3074" max="3074" width="9.875" style="1" customWidth="1"/>
    <col min="3075" max="3075" width="56.125" style="1" bestFit="1" customWidth="1"/>
    <col min="3076" max="3076" width="13" style="1" customWidth="1"/>
    <col min="3077" max="3077" width="11.25" style="1" bestFit="1" customWidth="1"/>
    <col min="3078" max="3078" width="11.75" style="1" customWidth="1"/>
    <col min="3079" max="3079" width="2.875" style="1" customWidth="1"/>
    <col min="3080" max="3080" width="13" style="1" bestFit="1" customWidth="1"/>
    <col min="3081" max="3081" width="14.875" style="1" bestFit="1" customWidth="1"/>
    <col min="3082" max="3082" width="13" style="1" bestFit="1" customWidth="1"/>
    <col min="3083" max="3328" width="8.25" style="1"/>
    <col min="3329" max="3329" width="4" style="1" bestFit="1" customWidth="1"/>
    <col min="3330" max="3330" width="9.875" style="1" customWidth="1"/>
    <col min="3331" max="3331" width="56.125" style="1" bestFit="1" customWidth="1"/>
    <col min="3332" max="3332" width="13" style="1" customWidth="1"/>
    <col min="3333" max="3333" width="11.25" style="1" bestFit="1" customWidth="1"/>
    <col min="3334" max="3334" width="11.75" style="1" customWidth="1"/>
    <col min="3335" max="3335" width="2.875" style="1" customWidth="1"/>
    <col min="3336" max="3336" width="13" style="1" bestFit="1" customWidth="1"/>
    <col min="3337" max="3337" width="14.875" style="1" bestFit="1" customWidth="1"/>
    <col min="3338" max="3338" width="13" style="1" bestFit="1" customWidth="1"/>
    <col min="3339" max="3584" width="8.25" style="1"/>
    <col min="3585" max="3585" width="4" style="1" bestFit="1" customWidth="1"/>
    <col min="3586" max="3586" width="9.875" style="1" customWidth="1"/>
    <col min="3587" max="3587" width="56.125" style="1" bestFit="1" customWidth="1"/>
    <col min="3588" max="3588" width="13" style="1" customWidth="1"/>
    <col min="3589" max="3589" width="11.25" style="1" bestFit="1" customWidth="1"/>
    <col min="3590" max="3590" width="11.75" style="1" customWidth="1"/>
    <col min="3591" max="3591" width="2.875" style="1" customWidth="1"/>
    <col min="3592" max="3592" width="13" style="1" bestFit="1" customWidth="1"/>
    <col min="3593" max="3593" width="14.875" style="1" bestFit="1" customWidth="1"/>
    <col min="3594" max="3594" width="13" style="1" bestFit="1" customWidth="1"/>
    <col min="3595" max="3840" width="8.25" style="1"/>
    <col min="3841" max="3841" width="4" style="1" bestFit="1" customWidth="1"/>
    <col min="3842" max="3842" width="9.875" style="1" customWidth="1"/>
    <col min="3843" max="3843" width="56.125" style="1" bestFit="1" customWidth="1"/>
    <col min="3844" max="3844" width="13" style="1" customWidth="1"/>
    <col min="3845" max="3845" width="11.25" style="1" bestFit="1" customWidth="1"/>
    <col min="3846" max="3846" width="11.75" style="1" customWidth="1"/>
    <col min="3847" max="3847" width="2.875" style="1" customWidth="1"/>
    <col min="3848" max="3848" width="13" style="1" bestFit="1" customWidth="1"/>
    <col min="3849" max="3849" width="14.875" style="1" bestFit="1" customWidth="1"/>
    <col min="3850" max="3850" width="13" style="1" bestFit="1" customWidth="1"/>
    <col min="3851" max="4096" width="8.25" style="1"/>
    <col min="4097" max="4097" width="4" style="1" bestFit="1" customWidth="1"/>
    <col min="4098" max="4098" width="9.875" style="1" customWidth="1"/>
    <col min="4099" max="4099" width="56.125" style="1" bestFit="1" customWidth="1"/>
    <col min="4100" max="4100" width="13" style="1" customWidth="1"/>
    <col min="4101" max="4101" width="11.25" style="1" bestFit="1" customWidth="1"/>
    <col min="4102" max="4102" width="11.75" style="1" customWidth="1"/>
    <col min="4103" max="4103" width="2.875" style="1" customWidth="1"/>
    <col min="4104" max="4104" width="13" style="1" bestFit="1" customWidth="1"/>
    <col min="4105" max="4105" width="14.875" style="1" bestFit="1" customWidth="1"/>
    <col min="4106" max="4106" width="13" style="1" bestFit="1" customWidth="1"/>
    <col min="4107" max="4352" width="8.25" style="1"/>
    <col min="4353" max="4353" width="4" style="1" bestFit="1" customWidth="1"/>
    <col min="4354" max="4354" width="9.875" style="1" customWidth="1"/>
    <col min="4355" max="4355" width="56.125" style="1" bestFit="1" customWidth="1"/>
    <col min="4356" max="4356" width="13" style="1" customWidth="1"/>
    <col min="4357" max="4357" width="11.25" style="1" bestFit="1" customWidth="1"/>
    <col min="4358" max="4358" width="11.75" style="1" customWidth="1"/>
    <col min="4359" max="4359" width="2.875" style="1" customWidth="1"/>
    <col min="4360" max="4360" width="13" style="1" bestFit="1" customWidth="1"/>
    <col min="4361" max="4361" width="14.875" style="1" bestFit="1" customWidth="1"/>
    <col min="4362" max="4362" width="13" style="1" bestFit="1" customWidth="1"/>
    <col min="4363" max="4608" width="8.25" style="1"/>
    <col min="4609" max="4609" width="4" style="1" bestFit="1" customWidth="1"/>
    <col min="4610" max="4610" width="9.875" style="1" customWidth="1"/>
    <col min="4611" max="4611" width="56.125" style="1" bestFit="1" customWidth="1"/>
    <col min="4612" max="4612" width="13" style="1" customWidth="1"/>
    <col min="4613" max="4613" width="11.25" style="1" bestFit="1" customWidth="1"/>
    <col min="4614" max="4614" width="11.75" style="1" customWidth="1"/>
    <col min="4615" max="4615" width="2.875" style="1" customWidth="1"/>
    <col min="4616" max="4616" width="13" style="1" bestFit="1" customWidth="1"/>
    <col min="4617" max="4617" width="14.875" style="1" bestFit="1" customWidth="1"/>
    <col min="4618" max="4618" width="13" style="1" bestFit="1" customWidth="1"/>
    <col min="4619" max="4864" width="8.25" style="1"/>
    <col min="4865" max="4865" width="4" style="1" bestFit="1" customWidth="1"/>
    <col min="4866" max="4866" width="9.875" style="1" customWidth="1"/>
    <col min="4867" max="4867" width="56.125" style="1" bestFit="1" customWidth="1"/>
    <col min="4868" max="4868" width="13" style="1" customWidth="1"/>
    <col min="4869" max="4869" width="11.25" style="1" bestFit="1" customWidth="1"/>
    <col min="4870" max="4870" width="11.75" style="1" customWidth="1"/>
    <col min="4871" max="4871" width="2.875" style="1" customWidth="1"/>
    <col min="4872" max="4872" width="13" style="1" bestFit="1" customWidth="1"/>
    <col min="4873" max="4873" width="14.875" style="1" bestFit="1" customWidth="1"/>
    <col min="4874" max="4874" width="13" style="1" bestFit="1" customWidth="1"/>
    <col min="4875" max="5120" width="8.25" style="1"/>
    <col min="5121" max="5121" width="4" style="1" bestFit="1" customWidth="1"/>
    <col min="5122" max="5122" width="9.875" style="1" customWidth="1"/>
    <col min="5123" max="5123" width="56.125" style="1" bestFit="1" customWidth="1"/>
    <col min="5124" max="5124" width="13" style="1" customWidth="1"/>
    <col min="5125" max="5125" width="11.25" style="1" bestFit="1" customWidth="1"/>
    <col min="5126" max="5126" width="11.75" style="1" customWidth="1"/>
    <col min="5127" max="5127" width="2.875" style="1" customWidth="1"/>
    <col min="5128" max="5128" width="13" style="1" bestFit="1" customWidth="1"/>
    <col min="5129" max="5129" width="14.875" style="1" bestFit="1" customWidth="1"/>
    <col min="5130" max="5130" width="13" style="1" bestFit="1" customWidth="1"/>
    <col min="5131" max="5376" width="8.25" style="1"/>
    <col min="5377" max="5377" width="4" style="1" bestFit="1" customWidth="1"/>
    <col min="5378" max="5378" width="9.875" style="1" customWidth="1"/>
    <col min="5379" max="5379" width="56.125" style="1" bestFit="1" customWidth="1"/>
    <col min="5380" max="5380" width="13" style="1" customWidth="1"/>
    <col min="5381" max="5381" width="11.25" style="1" bestFit="1" customWidth="1"/>
    <col min="5382" max="5382" width="11.75" style="1" customWidth="1"/>
    <col min="5383" max="5383" width="2.875" style="1" customWidth="1"/>
    <col min="5384" max="5384" width="13" style="1" bestFit="1" customWidth="1"/>
    <col min="5385" max="5385" width="14.875" style="1" bestFit="1" customWidth="1"/>
    <col min="5386" max="5386" width="13" style="1" bestFit="1" customWidth="1"/>
    <col min="5387" max="5632" width="8.25" style="1"/>
    <col min="5633" max="5633" width="4" style="1" bestFit="1" customWidth="1"/>
    <col min="5634" max="5634" width="9.875" style="1" customWidth="1"/>
    <col min="5635" max="5635" width="56.125" style="1" bestFit="1" customWidth="1"/>
    <col min="5636" max="5636" width="13" style="1" customWidth="1"/>
    <col min="5637" max="5637" width="11.25" style="1" bestFit="1" customWidth="1"/>
    <col min="5638" max="5638" width="11.75" style="1" customWidth="1"/>
    <col min="5639" max="5639" width="2.875" style="1" customWidth="1"/>
    <col min="5640" max="5640" width="13" style="1" bestFit="1" customWidth="1"/>
    <col min="5641" max="5641" width="14.875" style="1" bestFit="1" customWidth="1"/>
    <col min="5642" max="5642" width="13" style="1" bestFit="1" customWidth="1"/>
    <col min="5643" max="5888" width="8.25" style="1"/>
    <col min="5889" max="5889" width="4" style="1" bestFit="1" customWidth="1"/>
    <col min="5890" max="5890" width="9.875" style="1" customWidth="1"/>
    <col min="5891" max="5891" width="56.125" style="1" bestFit="1" customWidth="1"/>
    <col min="5892" max="5892" width="13" style="1" customWidth="1"/>
    <col min="5893" max="5893" width="11.25" style="1" bestFit="1" customWidth="1"/>
    <col min="5894" max="5894" width="11.75" style="1" customWidth="1"/>
    <col min="5895" max="5895" width="2.875" style="1" customWidth="1"/>
    <col min="5896" max="5896" width="13" style="1" bestFit="1" customWidth="1"/>
    <col min="5897" max="5897" width="14.875" style="1" bestFit="1" customWidth="1"/>
    <col min="5898" max="5898" width="13" style="1" bestFit="1" customWidth="1"/>
    <col min="5899" max="6144" width="8.25" style="1"/>
    <col min="6145" max="6145" width="4" style="1" bestFit="1" customWidth="1"/>
    <col min="6146" max="6146" width="9.875" style="1" customWidth="1"/>
    <col min="6147" max="6147" width="56.125" style="1" bestFit="1" customWidth="1"/>
    <col min="6148" max="6148" width="13" style="1" customWidth="1"/>
    <col min="6149" max="6149" width="11.25" style="1" bestFit="1" customWidth="1"/>
    <col min="6150" max="6150" width="11.75" style="1" customWidth="1"/>
    <col min="6151" max="6151" width="2.875" style="1" customWidth="1"/>
    <col min="6152" max="6152" width="13" style="1" bestFit="1" customWidth="1"/>
    <col min="6153" max="6153" width="14.875" style="1" bestFit="1" customWidth="1"/>
    <col min="6154" max="6154" width="13" style="1" bestFit="1" customWidth="1"/>
    <col min="6155" max="6400" width="8.25" style="1"/>
    <col min="6401" max="6401" width="4" style="1" bestFit="1" customWidth="1"/>
    <col min="6402" max="6402" width="9.875" style="1" customWidth="1"/>
    <col min="6403" max="6403" width="56.125" style="1" bestFit="1" customWidth="1"/>
    <col min="6404" max="6404" width="13" style="1" customWidth="1"/>
    <col min="6405" max="6405" width="11.25" style="1" bestFit="1" customWidth="1"/>
    <col min="6406" max="6406" width="11.75" style="1" customWidth="1"/>
    <col min="6407" max="6407" width="2.875" style="1" customWidth="1"/>
    <col min="6408" max="6408" width="13" style="1" bestFit="1" customWidth="1"/>
    <col min="6409" max="6409" width="14.875" style="1" bestFit="1" customWidth="1"/>
    <col min="6410" max="6410" width="13" style="1" bestFit="1" customWidth="1"/>
    <col min="6411" max="6656" width="8.25" style="1"/>
    <col min="6657" max="6657" width="4" style="1" bestFit="1" customWidth="1"/>
    <col min="6658" max="6658" width="9.875" style="1" customWidth="1"/>
    <col min="6659" max="6659" width="56.125" style="1" bestFit="1" customWidth="1"/>
    <col min="6660" max="6660" width="13" style="1" customWidth="1"/>
    <col min="6661" max="6661" width="11.25" style="1" bestFit="1" customWidth="1"/>
    <col min="6662" max="6662" width="11.75" style="1" customWidth="1"/>
    <col min="6663" max="6663" width="2.875" style="1" customWidth="1"/>
    <col min="6664" max="6664" width="13" style="1" bestFit="1" customWidth="1"/>
    <col min="6665" max="6665" width="14.875" style="1" bestFit="1" customWidth="1"/>
    <col min="6666" max="6666" width="13" style="1" bestFit="1" customWidth="1"/>
    <col min="6667" max="6912" width="8.25" style="1"/>
    <col min="6913" max="6913" width="4" style="1" bestFit="1" customWidth="1"/>
    <col min="6914" max="6914" width="9.875" style="1" customWidth="1"/>
    <col min="6915" max="6915" width="56.125" style="1" bestFit="1" customWidth="1"/>
    <col min="6916" max="6916" width="13" style="1" customWidth="1"/>
    <col min="6917" max="6917" width="11.25" style="1" bestFit="1" customWidth="1"/>
    <col min="6918" max="6918" width="11.75" style="1" customWidth="1"/>
    <col min="6919" max="6919" width="2.875" style="1" customWidth="1"/>
    <col min="6920" max="6920" width="13" style="1" bestFit="1" customWidth="1"/>
    <col min="6921" max="6921" width="14.875" style="1" bestFit="1" customWidth="1"/>
    <col min="6922" max="6922" width="13" style="1" bestFit="1" customWidth="1"/>
    <col min="6923" max="7168" width="8.25" style="1"/>
    <col min="7169" max="7169" width="4" style="1" bestFit="1" customWidth="1"/>
    <col min="7170" max="7170" width="9.875" style="1" customWidth="1"/>
    <col min="7171" max="7171" width="56.125" style="1" bestFit="1" customWidth="1"/>
    <col min="7172" max="7172" width="13" style="1" customWidth="1"/>
    <col min="7173" max="7173" width="11.25" style="1" bestFit="1" customWidth="1"/>
    <col min="7174" max="7174" width="11.75" style="1" customWidth="1"/>
    <col min="7175" max="7175" width="2.875" style="1" customWidth="1"/>
    <col min="7176" max="7176" width="13" style="1" bestFit="1" customWidth="1"/>
    <col min="7177" max="7177" width="14.875" style="1" bestFit="1" customWidth="1"/>
    <col min="7178" max="7178" width="13" style="1" bestFit="1" customWidth="1"/>
    <col min="7179" max="7424" width="8.25" style="1"/>
    <col min="7425" max="7425" width="4" style="1" bestFit="1" customWidth="1"/>
    <col min="7426" max="7426" width="9.875" style="1" customWidth="1"/>
    <col min="7427" max="7427" width="56.125" style="1" bestFit="1" customWidth="1"/>
    <col min="7428" max="7428" width="13" style="1" customWidth="1"/>
    <col min="7429" max="7429" width="11.25" style="1" bestFit="1" customWidth="1"/>
    <col min="7430" max="7430" width="11.75" style="1" customWidth="1"/>
    <col min="7431" max="7431" width="2.875" style="1" customWidth="1"/>
    <col min="7432" max="7432" width="13" style="1" bestFit="1" customWidth="1"/>
    <col min="7433" max="7433" width="14.875" style="1" bestFit="1" customWidth="1"/>
    <col min="7434" max="7434" width="13" style="1" bestFit="1" customWidth="1"/>
    <col min="7435" max="7680" width="8.25" style="1"/>
    <col min="7681" max="7681" width="4" style="1" bestFit="1" customWidth="1"/>
    <col min="7682" max="7682" width="9.875" style="1" customWidth="1"/>
    <col min="7683" max="7683" width="56.125" style="1" bestFit="1" customWidth="1"/>
    <col min="7684" max="7684" width="13" style="1" customWidth="1"/>
    <col min="7685" max="7685" width="11.25" style="1" bestFit="1" customWidth="1"/>
    <col min="7686" max="7686" width="11.75" style="1" customWidth="1"/>
    <col min="7687" max="7687" width="2.875" style="1" customWidth="1"/>
    <col min="7688" max="7688" width="13" style="1" bestFit="1" customWidth="1"/>
    <col min="7689" max="7689" width="14.875" style="1" bestFit="1" customWidth="1"/>
    <col min="7690" max="7690" width="13" style="1" bestFit="1" customWidth="1"/>
    <col min="7691" max="7936" width="8.25" style="1"/>
    <col min="7937" max="7937" width="4" style="1" bestFit="1" customWidth="1"/>
    <col min="7938" max="7938" width="9.875" style="1" customWidth="1"/>
    <col min="7939" max="7939" width="56.125" style="1" bestFit="1" customWidth="1"/>
    <col min="7940" max="7940" width="13" style="1" customWidth="1"/>
    <col min="7941" max="7941" width="11.25" style="1" bestFit="1" customWidth="1"/>
    <col min="7942" max="7942" width="11.75" style="1" customWidth="1"/>
    <col min="7943" max="7943" width="2.875" style="1" customWidth="1"/>
    <col min="7944" max="7944" width="13" style="1" bestFit="1" customWidth="1"/>
    <col min="7945" max="7945" width="14.875" style="1" bestFit="1" customWidth="1"/>
    <col min="7946" max="7946" width="13" style="1" bestFit="1" customWidth="1"/>
    <col min="7947" max="8192" width="8.25" style="1"/>
    <col min="8193" max="8193" width="4" style="1" bestFit="1" customWidth="1"/>
    <col min="8194" max="8194" width="9.875" style="1" customWidth="1"/>
    <col min="8195" max="8195" width="56.125" style="1" bestFit="1" customWidth="1"/>
    <col min="8196" max="8196" width="13" style="1" customWidth="1"/>
    <col min="8197" max="8197" width="11.25" style="1" bestFit="1" customWidth="1"/>
    <col min="8198" max="8198" width="11.75" style="1" customWidth="1"/>
    <col min="8199" max="8199" width="2.875" style="1" customWidth="1"/>
    <col min="8200" max="8200" width="13" style="1" bestFit="1" customWidth="1"/>
    <col min="8201" max="8201" width="14.875" style="1" bestFit="1" customWidth="1"/>
    <col min="8202" max="8202" width="13" style="1" bestFit="1" customWidth="1"/>
    <col min="8203" max="8448" width="8.25" style="1"/>
    <col min="8449" max="8449" width="4" style="1" bestFit="1" customWidth="1"/>
    <col min="8450" max="8450" width="9.875" style="1" customWidth="1"/>
    <col min="8451" max="8451" width="56.125" style="1" bestFit="1" customWidth="1"/>
    <col min="8452" max="8452" width="13" style="1" customWidth="1"/>
    <col min="8453" max="8453" width="11.25" style="1" bestFit="1" customWidth="1"/>
    <col min="8454" max="8454" width="11.75" style="1" customWidth="1"/>
    <col min="8455" max="8455" width="2.875" style="1" customWidth="1"/>
    <col min="8456" max="8456" width="13" style="1" bestFit="1" customWidth="1"/>
    <col min="8457" max="8457" width="14.875" style="1" bestFit="1" customWidth="1"/>
    <col min="8458" max="8458" width="13" style="1" bestFit="1" customWidth="1"/>
    <col min="8459" max="8704" width="8.25" style="1"/>
    <col min="8705" max="8705" width="4" style="1" bestFit="1" customWidth="1"/>
    <col min="8706" max="8706" width="9.875" style="1" customWidth="1"/>
    <col min="8707" max="8707" width="56.125" style="1" bestFit="1" customWidth="1"/>
    <col min="8708" max="8708" width="13" style="1" customWidth="1"/>
    <col min="8709" max="8709" width="11.25" style="1" bestFit="1" customWidth="1"/>
    <col min="8710" max="8710" width="11.75" style="1" customWidth="1"/>
    <col min="8711" max="8711" width="2.875" style="1" customWidth="1"/>
    <col min="8712" max="8712" width="13" style="1" bestFit="1" customWidth="1"/>
    <col min="8713" max="8713" width="14.875" style="1" bestFit="1" customWidth="1"/>
    <col min="8714" max="8714" width="13" style="1" bestFit="1" customWidth="1"/>
    <col min="8715" max="8960" width="8.25" style="1"/>
    <col min="8961" max="8961" width="4" style="1" bestFit="1" customWidth="1"/>
    <col min="8962" max="8962" width="9.875" style="1" customWidth="1"/>
    <col min="8963" max="8963" width="56.125" style="1" bestFit="1" customWidth="1"/>
    <col min="8964" max="8964" width="13" style="1" customWidth="1"/>
    <col min="8965" max="8965" width="11.25" style="1" bestFit="1" customWidth="1"/>
    <col min="8966" max="8966" width="11.75" style="1" customWidth="1"/>
    <col min="8967" max="8967" width="2.875" style="1" customWidth="1"/>
    <col min="8968" max="8968" width="13" style="1" bestFit="1" customWidth="1"/>
    <col min="8969" max="8969" width="14.875" style="1" bestFit="1" customWidth="1"/>
    <col min="8970" max="8970" width="13" style="1" bestFit="1" customWidth="1"/>
    <col min="8971" max="9216" width="8.25" style="1"/>
    <col min="9217" max="9217" width="4" style="1" bestFit="1" customWidth="1"/>
    <col min="9218" max="9218" width="9.875" style="1" customWidth="1"/>
    <col min="9219" max="9219" width="56.125" style="1" bestFit="1" customWidth="1"/>
    <col min="9220" max="9220" width="13" style="1" customWidth="1"/>
    <col min="9221" max="9221" width="11.25" style="1" bestFit="1" customWidth="1"/>
    <col min="9222" max="9222" width="11.75" style="1" customWidth="1"/>
    <col min="9223" max="9223" width="2.875" style="1" customWidth="1"/>
    <col min="9224" max="9224" width="13" style="1" bestFit="1" customWidth="1"/>
    <col min="9225" max="9225" width="14.875" style="1" bestFit="1" customWidth="1"/>
    <col min="9226" max="9226" width="13" style="1" bestFit="1" customWidth="1"/>
    <col min="9227" max="9472" width="8.25" style="1"/>
    <col min="9473" max="9473" width="4" style="1" bestFit="1" customWidth="1"/>
    <col min="9474" max="9474" width="9.875" style="1" customWidth="1"/>
    <col min="9475" max="9475" width="56.125" style="1" bestFit="1" customWidth="1"/>
    <col min="9476" max="9476" width="13" style="1" customWidth="1"/>
    <col min="9477" max="9477" width="11.25" style="1" bestFit="1" customWidth="1"/>
    <col min="9478" max="9478" width="11.75" style="1" customWidth="1"/>
    <col min="9479" max="9479" width="2.875" style="1" customWidth="1"/>
    <col min="9480" max="9480" width="13" style="1" bestFit="1" customWidth="1"/>
    <col min="9481" max="9481" width="14.875" style="1" bestFit="1" customWidth="1"/>
    <col min="9482" max="9482" width="13" style="1" bestFit="1" customWidth="1"/>
    <col min="9483" max="9728" width="8.25" style="1"/>
    <col min="9729" max="9729" width="4" style="1" bestFit="1" customWidth="1"/>
    <col min="9730" max="9730" width="9.875" style="1" customWidth="1"/>
    <col min="9731" max="9731" width="56.125" style="1" bestFit="1" customWidth="1"/>
    <col min="9732" max="9732" width="13" style="1" customWidth="1"/>
    <col min="9733" max="9733" width="11.25" style="1" bestFit="1" customWidth="1"/>
    <col min="9734" max="9734" width="11.75" style="1" customWidth="1"/>
    <col min="9735" max="9735" width="2.875" style="1" customWidth="1"/>
    <col min="9736" max="9736" width="13" style="1" bestFit="1" customWidth="1"/>
    <col min="9737" max="9737" width="14.875" style="1" bestFit="1" customWidth="1"/>
    <col min="9738" max="9738" width="13" style="1" bestFit="1" customWidth="1"/>
    <col min="9739" max="9984" width="8.25" style="1"/>
    <col min="9985" max="9985" width="4" style="1" bestFit="1" customWidth="1"/>
    <col min="9986" max="9986" width="9.875" style="1" customWidth="1"/>
    <col min="9987" max="9987" width="56.125" style="1" bestFit="1" customWidth="1"/>
    <col min="9988" max="9988" width="13" style="1" customWidth="1"/>
    <col min="9989" max="9989" width="11.25" style="1" bestFit="1" customWidth="1"/>
    <col min="9990" max="9990" width="11.75" style="1" customWidth="1"/>
    <col min="9991" max="9991" width="2.875" style="1" customWidth="1"/>
    <col min="9992" max="9992" width="13" style="1" bestFit="1" customWidth="1"/>
    <col min="9993" max="9993" width="14.875" style="1" bestFit="1" customWidth="1"/>
    <col min="9994" max="9994" width="13" style="1" bestFit="1" customWidth="1"/>
    <col min="9995" max="10240" width="8.25" style="1"/>
    <col min="10241" max="10241" width="4" style="1" bestFit="1" customWidth="1"/>
    <col min="10242" max="10242" width="9.875" style="1" customWidth="1"/>
    <col min="10243" max="10243" width="56.125" style="1" bestFit="1" customWidth="1"/>
    <col min="10244" max="10244" width="13" style="1" customWidth="1"/>
    <col min="10245" max="10245" width="11.25" style="1" bestFit="1" customWidth="1"/>
    <col min="10246" max="10246" width="11.75" style="1" customWidth="1"/>
    <col min="10247" max="10247" width="2.875" style="1" customWidth="1"/>
    <col min="10248" max="10248" width="13" style="1" bestFit="1" customWidth="1"/>
    <col min="10249" max="10249" width="14.875" style="1" bestFit="1" customWidth="1"/>
    <col min="10250" max="10250" width="13" style="1" bestFit="1" customWidth="1"/>
    <col min="10251" max="10496" width="8.25" style="1"/>
    <col min="10497" max="10497" width="4" style="1" bestFit="1" customWidth="1"/>
    <col min="10498" max="10498" width="9.875" style="1" customWidth="1"/>
    <col min="10499" max="10499" width="56.125" style="1" bestFit="1" customWidth="1"/>
    <col min="10500" max="10500" width="13" style="1" customWidth="1"/>
    <col min="10501" max="10501" width="11.25" style="1" bestFit="1" customWidth="1"/>
    <col min="10502" max="10502" width="11.75" style="1" customWidth="1"/>
    <col min="10503" max="10503" width="2.875" style="1" customWidth="1"/>
    <col min="10504" max="10504" width="13" style="1" bestFit="1" customWidth="1"/>
    <col min="10505" max="10505" width="14.875" style="1" bestFit="1" customWidth="1"/>
    <col min="10506" max="10506" width="13" style="1" bestFit="1" customWidth="1"/>
    <col min="10507" max="10752" width="8.25" style="1"/>
    <col min="10753" max="10753" width="4" style="1" bestFit="1" customWidth="1"/>
    <col min="10754" max="10754" width="9.875" style="1" customWidth="1"/>
    <col min="10755" max="10755" width="56.125" style="1" bestFit="1" customWidth="1"/>
    <col min="10756" max="10756" width="13" style="1" customWidth="1"/>
    <col min="10757" max="10757" width="11.25" style="1" bestFit="1" customWidth="1"/>
    <col min="10758" max="10758" width="11.75" style="1" customWidth="1"/>
    <col min="10759" max="10759" width="2.875" style="1" customWidth="1"/>
    <col min="10760" max="10760" width="13" style="1" bestFit="1" customWidth="1"/>
    <col min="10761" max="10761" width="14.875" style="1" bestFit="1" customWidth="1"/>
    <col min="10762" max="10762" width="13" style="1" bestFit="1" customWidth="1"/>
    <col min="10763" max="11008" width="8.25" style="1"/>
    <col min="11009" max="11009" width="4" style="1" bestFit="1" customWidth="1"/>
    <col min="11010" max="11010" width="9.875" style="1" customWidth="1"/>
    <col min="11011" max="11011" width="56.125" style="1" bestFit="1" customWidth="1"/>
    <col min="11012" max="11012" width="13" style="1" customWidth="1"/>
    <col min="11013" max="11013" width="11.25" style="1" bestFit="1" customWidth="1"/>
    <col min="11014" max="11014" width="11.75" style="1" customWidth="1"/>
    <col min="11015" max="11015" width="2.875" style="1" customWidth="1"/>
    <col min="11016" max="11016" width="13" style="1" bestFit="1" customWidth="1"/>
    <col min="11017" max="11017" width="14.875" style="1" bestFit="1" customWidth="1"/>
    <col min="11018" max="11018" width="13" style="1" bestFit="1" customWidth="1"/>
    <col min="11019" max="11264" width="8.25" style="1"/>
    <col min="11265" max="11265" width="4" style="1" bestFit="1" customWidth="1"/>
    <col min="11266" max="11266" width="9.875" style="1" customWidth="1"/>
    <col min="11267" max="11267" width="56.125" style="1" bestFit="1" customWidth="1"/>
    <col min="11268" max="11268" width="13" style="1" customWidth="1"/>
    <col min="11269" max="11269" width="11.25" style="1" bestFit="1" customWidth="1"/>
    <col min="11270" max="11270" width="11.75" style="1" customWidth="1"/>
    <col min="11271" max="11271" width="2.875" style="1" customWidth="1"/>
    <col min="11272" max="11272" width="13" style="1" bestFit="1" customWidth="1"/>
    <col min="11273" max="11273" width="14.875" style="1" bestFit="1" customWidth="1"/>
    <col min="11274" max="11274" width="13" style="1" bestFit="1" customWidth="1"/>
    <col min="11275" max="11520" width="8.25" style="1"/>
    <col min="11521" max="11521" width="4" style="1" bestFit="1" customWidth="1"/>
    <col min="11522" max="11522" width="9.875" style="1" customWidth="1"/>
    <col min="11523" max="11523" width="56.125" style="1" bestFit="1" customWidth="1"/>
    <col min="11524" max="11524" width="13" style="1" customWidth="1"/>
    <col min="11525" max="11525" width="11.25" style="1" bestFit="1" customWidth="1"/>
    <col min="11526" max="11526" width="11.75" style="1" customWidth="1"/>
    <col min="11527" max="11527" width="2.875" style="1" customWidth="1"/>
    <col min="11528" max="11528" width="13" style="1" bestFit="1" customWidth="1"/>
    <col min="11529" max="11529" width="14.875" style="1" bestFit="1" customWidth="1"/>
    <col min="11530" max="11530" width="13" style="1" bestFit="1" customWidth="1"/>
    <col min="11531" max="11776" width="8.25" style="1"/>
    <col min="11777" max="11777" width="4" style="1" bestFit="1" customWidth="1"/>
    <col min="11778" max="11778" width="9.875" style="1" customWidth="1"/>
    <col min="11779" max="11779" width="56.125" style="1" bestFit="1" customWidth="1"/>
    <col min="11780" max="11780" width="13" style="1" customWidth="1"/>
    <col min="11781" max="11781" width="11.25" style="1" bestFit="1" customWidth="1"/>
    <col min="11782" max="11782" width="11.75" style="1" customWidth="1"/>
    <col min="11783" max="11783" width="2.875" style="1" customWidth="1"/>
    <col min="11784" max="11784" width="13" style="1" bestFit="1" customWidth="1"/>
    <col min="11785" max="11785" width="14.875" style="1" bestFit="1" customWidth="1"/>
    <col min="11786" max="11786" width="13" style="1" bestFit="1" customWidth="1"/>
    <col min="11787" max="12032" width="8.25" style="1"/>
    <col min="12033" max="12033" width="4" style="1" bestFit="1" customWidth="1"/>
    <col min="12034" max="12034" width="9.875" style="1" customWidth="1"/>
    <col min="12035" max="12035" width="56.125" style="1" bestFit="1" customWidth="1"/>
    <col min="12036" max="12036" width="13" style="1" customWidth="1"/>
    <col min="12037" max="12037" width="11.25" style="1" bestFit="1" customWidth="1"/>
    <col min="12038" max="12038" width="11.75" style="1" customWidth="1"/>
    <col min="12039" max="12039" width="2.875" style="1" customWidth="1"/>
    <col min="12040" max="12040" width="13" style="1" bestFit="1" customWidth="1"/>
    <col min="12041" max="12041" width="14.875" style="1" bestFit="1" customWidth="1"/>
    <col min="12042" max="12042" width="13" style="1" bestFit="1" customWidth="1"/>
    <col min="12043" max="12288" width="8.25" style="1"/>
    <col min="12289" max="12289" width="4" style="1" bestFit="1" customWidth="1"/>
    <col min="12290" max="12290" width="9.875" style="1" customWidth="1"/>
    <col min="12291" max="12291" width="56.125" style="1" bestFit="1" customWidth="1"/>
    <col min="12292" max="12292" width="13" style="1" customWidth="1"/>
    <col min="12293" max="12293" width="11.25" style="1" bestFit="1" customWidth="1"/>
    <col min="12294" max="12294" width="11.75" style="1" customWidth="1"/>
    <col min="12295" max="12295" width="2.875" style="1" customWidth="1"/>
    <col min="12296" max="12296" width="13" style="1" bestFit="1" customWidth="1"/>
    <col min="12297" max="12297" width="14.875" style="1" bestFit="1" customWidth="1"/>
    <col min="12298" max="12298" width="13" style="1" bestFit="1" customWidth="1"/>
    <col min="12299" max="12544" width="8.25" style="1"/>
    <col min="12545" max="12545" width="4" style="1" bestFit="1" customWidth="1"/>
    <col min="12546" max="12546" width="9.875" style="1" customWidth="1"/>
    <col min="12547" max="12547" width="56.125" style="1" bestFit="1" customWidth="1"/>
    <col min="12548" max="12548" width="13" style="1" customWidth="1"/>
    <col min="12549" max="12549" width="11.25" style="1" bestFit="1" customWidth="1"/>
    <col min="12550" max="12550" width="11.75" style="1" customWidth="1"/>
    <col min="12551" max="12551" width="2.875" style="1" customWidth="1"/>
    <col min="12552" max="12552" width="13" style="1" bestFit="1" customWidth="1"/>
    <col min="12553" max="12553" width="14.875" style="1" bestFit="1" customWidth="1"/>
    <col min="12554" max="12554" width="13" style="1" bestFit="1" customWidth="1"/>
    <col min="12555" max="12800" width="8.25" style="1"/>
    <col min="12801" max="12801" width="4" style="1" bestFit="1" customWidth="1"/>
    <col min="12802" max="12802" width="9.875" style="1" customWidth="1"/>
    <col min="12803" max="12803" width="56.125" style="1" bestFit="1" customWidth="1"/>
    <col min="12804" max="12804" width="13" style="1" customWidth="1"/>
    <col min="12805" max="12805" width="11.25" style="1" bestFit="1" customWidth="1"/>
    <col min="12806" max="12806" width="11.75" style="1" customWidth="1"/>
    <col min="12807" max="12807" width="2.875" style="1" customWidth="1"/>
    <col min="12808" max="12808" width="13" style="1" bestFit="1" customWidth="1"/>
    <col min="12809" max="12809" width="14.875" style="1" bestFit="1" customWidth="1"/>
    <col min="12810" max="12810" width="13" style="1" bestFit="1" customWidth="1"/>
    <col min="12811" max="13056" width="8.25" style="1"/>
    <col min="13057" max="13057" width="4" style="1" bestFit="1" customWidth="1"/>
    <col min="13058" max="13058" width="9.875" style="1" customWidth="1"/>
    <col min="13059" max="13059" width="56.125" style="1" bestFit="1" customWidth="1"/>
    <col min="13060" max="13060" width="13" style="1" customWidth="1"/>
    <col min="13061" max="13061" width="11.25" style="1" bestFit="1" customWidth="1"/>
    <col min="13062" max="13062" width="11.75" style="1" customWidth="1"/>
    <col min="13063" max="13063" width="2.875" style="1" customWidth="1"/>
    <col min="13064" max="13064" width="13" style="1" bestFit="1" customWidth="1"/>
    <col min="13065" max="13065" width="14.875" style="1" bestFit="1" customWidth="1"/>
    <col min="13066" max="13066" width="13" style="1" bestFit="1" customWidth="1"/>
    <col min="13067" max="13312" width="8.25" style="1"/>
    <col min="13313" max="13313" width="4" style="1" bestFit="1" customWidth="1"/>
    <col min="13314" max="13314" width="9.875" style="1" customWidth="1"/>
    <col min="13315" max="13315" width="56.125" style="1" bestFit="1" customWidth="1"/>
    <col min="13316" max="13316" width="13" style="1" customWidth="1"/>
    <col min="13317" max="13317" width="11.25" style="1" bestFit="1" customWidth="1"/>
    <col min="13318" max="13318" width="11.75" style="1" customWidth="1"/>
    <col min="13319" max="13319" width="2.875" style="1" customWidth="1"/>
    <col min="13320" max="13320" width="13" style="1" bestFit="1" customWidth="1"/>
    <col min="13321" max="13321" width="14.875" style="1" bestFit="1" customWidth="1"/>
    <col min="13322" max="13322" width="13" style="1" bestFit="1" customWidth="1"/>
    <col min="13323" max="13568" width="8.25" style="1"/>
    <col min="13569" max="13569" width="4" style="1" bestFit="1" customWidth="1"/>
    <col min="13570" max="13570" width="9.875" style="1" customWidth="1"/>
    <col min="13571" max="13571" width="56.125" style="1" bestFit="1" customWidth="1"/>
    <col min="13572" max="13572" width="13" style="1" customWidth="1"/>
    <col min="13573" max="13573" width="11.25" style="1" bestFit="1" customWidth="1"/>
    <col min="13574" max="13574" width="11.75" style="1" customWidth="1"/>
    <col min="13575" max="13575" width="2.875" style="1" customWidth="1"/>
    <col min="13576" max="13576" width="13" style="1" bestFit="1" customWidth="1"/>
    <col min="13577" max="13577" width="14.875" style="1" bestFit="1" customWidth="1"/>
    <col min="13578" max="13578" width="13" style="1" bestFit="1" customWidth="1"/>
    <col min="13579" max="13824" width="8.25" style="1"/>
    <col min="13825" max="13825" width="4" style="1" bestFit="1" customWidth="1"/>
    <col min="13826" max="13826" width="9.875" style="1" customWidth="1"/>
    <col min="13827" max="13827" width="56.125" style="1" bestFit="1" customWidth="1"/>
    <col min="13828" max="13828" width="13" style="1" customWidth="1"/>
    <col min="13829" max="13829" width="11.25" style="1" bestFit="1" customWidth="1"/>
    <col min="13830" max="13830" width="11.75" style="1" customWidth="1"/>
    <col min="13831" max="13831" width="2.875" style="1" customWidth="1"/>
    <col min="13832" max="13832" width="13" style="1" bestFit="1" customWidth="1"/>
    <col min="13833" max="13833" width="14.875" style="1" bestFit="1" customWidth="1"/>
    <col min="13834" max="13834" width="13" style="1" bestFit="1" customWidth="1"/>
    <col min="13835" max="14080" width="8.25" style="1"/>
    <col min="14081" max="14081" width="4" style="1" bestFit="1" customWidth="1"/>
    <col min="14082" max="14082" width="9.875" style="1" customWidth="1"/>
    <col min="14083" max="14083" width="56.125" style="1" bestFit="1" customWidth="1"/>
    <col min="14084" max="14084" width="13" style="1" customWidth="1"/>
    <col min="14085" max="14085" width="11.25" style="1" bestFit="1" customWidth="1"/>
    <col min="14086" max="14086" width="11.75" style="1" customWidth="1"/>
    <col min="14087" max="14087" width="2.875" style="1" customWidth="1"/>
    <col min="14088" max="14088" width="13" style="1" bestFit="1" customWidth="1"/>
    <col min="14089" max="14089" width="14.875" style="1" bestFit="1" customWidth="1"/>
    <col min="14090" max="14090" width="13" style="1" bestFit="1" customWidth="1"/>
    <col min="14091" max="14336" width="8.25" style="1"/>
    <col min="14337" max="14337" width="4" style="1" bestFit="1" customWidth="1"/>
    <col min="14338" max="14338" width="9.875" style="1" customWidth="1"/>
    <col min="14339" max="14339" width="56.125" style="1" bestFit="1" customWidth="1"/>
    <col min="14340" max="14340" width="13" style="1" customWidth="1"/>
    <col min="14341" max="14341" width="11.25" style="1" bestFit="1" customWidth="1"/>
    <col min="14342" max="14342" width="11.75" style="1" customWidth="1"/>
    <col min="14343" max="14343" width="2.875" style="1" customWidth="1"/>
    <col min="14344" max="14344" width="13" style="1" bestFit="1" customWidth="1"/>
    <col min="14345" max="14345" width="14.875" style="1" bestFit="1" customWidth="1"/>
    <col min="14346" max="14346" width="13" style="1" bestFit="1" customWidth="1"/>
    <col min="14347" max="14592" width="8.25" style="1"/>
    <col min="14593" max="14593" width="4" style="1" bestFit="1" customWidth="1"/>
    <col min="14594" max="14594" width="9.875" style="1" customWidth="1"/>
    <col min="14595" max="14595" width="56.125" style="1" bestFit="1" customWidth="1"/>
    <col min="14596" max="14596" width="13" style="1" customWidth="1"/>
    <col min="14597" max="14597" width="11.25" style="1" bestFit="1" customWidth="1"/>
    <col min="14598" max="14598" width="11.75" style="1" customWidth="1"/>
    <col min="14599" max="14599" width="2.875" style="1" customWidth="1"/>
    <col min="14600" max="14600" width="13" style="1" bestFit="1" customWidth="1"/>
    <col min="14601" max="14601" width="14.875" style="1" bestFit="1" customWidth="1"/>
    <col min="14602" max="14602" width="13" style="1" bestFit="1" customWidth="1"/>
    <col min="14603" max="14848" width="8.25" style="1"/>
    <col min="14849" max="14849" width="4" style="1" bestFit="1" customWidth="1"/>
    <col min="14850" max="14850" width="9.875" style="1" customWidth="1"/>
    <col min="14851" max="14851" width="56.125" style="1" bestFit="1" customWidth="1"/>
    <col min="14852" max="14852" width="13" style="1" customWidth="1"/>
    <col min="14853" max="14853" width="11.25" style="1" bestFit="1" customWidth="1"/>
    <col min="14854" max="14854" width="11.75" style="1" customWidth="1"/>
    <col min="14855" max="14855" width="2.875" style="1" customWidth="1"/>
    <col min="14856" max="14856" width="13" style="1" bestFit="1" customWidth="1"/>
    <col min="14857" max="14857" width="14.875" style="1" bestFit="1" customWidth="1"/>
    <col min="14858" max="14858" width="13" style="1" bestFit="1" customWidth="1"/>
    <col min="14859" max="15104" width="8.25" style="1"/>
    <col min="15105" max="15105" width="4" style="1" bestFit="1" customWidth="1"/>
    <col min="15106" max="15106" width="9.875" style="1" customWidth="1"/>
    <col min="15107" max="15107" width="56.125" style="1" bestFit="1" customWidth="1"/>
    <col min="15108" max="15108" width="13" style="1" customWidth="1"/>
    <col min="15109" max="15109" width="11.25" style="1" bestFit="1" customWidth="1"/>
    <col min="15110" max="15110" width="11.75" style="1" customWidth="1"/>
    <col min="15111" max="15111" width="2.875" style="1" customWidth="1"/>
    <col min="15112" max="15112" width="13" style="1" bestFit="1" customWidth="1"/>
    <col min="15113" max="15113" width="14.875" style="1" bestFit="1" customWidth="1"/>
    <col min="15114" max="15114" width="13" style="1" bestFit="1" customWidth="1"/>
    <col min="15115" max="15360" width="8.25" style="1"/>
    <col min="15361" max="15361" width="4" style="1" bestFit="1" customWidth="1"/>
    <col min="15362" max="15362" width="9.875" style="1" customWidth="1"/>
    <col min="15363" max="15363" width="56.125" style="1" bestFit="1" customWidth="1"/>
    <col min="15364" max="15364" width="13" style="1" customWidth="1"/>
    <col min="15365" max="15365" width="11.25" style="1" bestFit="1" customWidth="1"/>
    <col min="15366" max="15366" width="11.75" style="1" customWidth="1"/>
    <col min="15367" max="15367" width="2.875" style="1" customWidth="1"/>
    <col min="15368" max="15368" width="13" style="1" bestFit="1" customWidth="1"/>
    <col min="15369" max="15369" width="14.875" style="1" bestFit="1" customWidth="1"/>
    <col min="15370" max="15370" width="13" style="1" bestFit="1" customWidth="1"/>
    <col min="15371" max="15616" width="8.25" style="1"/>
    <col min="15617" max="15617" width="4" style="1" bestFit="1" customWidth="1"/>
    <col min="15618" max="15618" width="9.875" style="1" customWidth="1"/>
    <col min="15619" max="15619" width="56.125" style="1" bestFit="1" customWidth="1"/>
    <col min="15620" max="15620" width="13" style="1" customWidth="1"/>
    <col min="15621" max="15621" width="11.25" style="1" bestFit="1" customWidth="1"/>
    <col min="15622" max="15622" width="11.75" style="1" customWidth="1"/>
    <col min="15623" max="15623" width="2.875" style="1" customWidth="1"/>
    <col min="15624" max="15624" width="13" style="1" bestFit="1" customWidth="1"/>
    <col min="15625" max="15625" width="14.875" style="1" bestFit="1" customWidth="1"/>
    <col min="15626" max="15626" width="13" style="1" bestFit="1" customWidth="1"/>
    <col min="15627" max="15872" width="8.25" style="1"/>
    <col min="15873" max="15873" width="4" style="1" bestFit="1" customWidth="1"/>
    <col min="15874" max="15874" width="9.875" style="1" customWidth="1"/>
    <col min="15875" max="15875" width="56.125" style="1" bestFit="1" customWidth="1"/>
    <col min="15876" max="15876" width="13" style="1" customWidth="1"/>
    <col min="15877" max="15877" width="11.25" style="1" bestFit="1" customWidth="1"/>
    <col min="15878" max="15878" width="11.75" style="1" customWidth="1"/>
    <col min="15879" max="15879" width="2.875" style="1" customWidth="1"/>
    <col min="15880" max="15880" width="13" style="1" bestFit="1" customWidth="1"/>
    <col min="15881" max="15881" width="14.875" style="1" bestFit="1" customWidth="1"/>
    <col min="15882" max="15882" width="13" style="1" bestFit="1" customWidth="1"/>
    <col min="15883" max="16128" width="8.25" style="1"/>
    <col min="16129" max="16129" width="4" style="1" bestFit="1" customWidth="1"/>
    <col min="16130" max="16130" width="9.875" style="1" customWidth="1"/>
    <col min="16131" max="16131" width="56.125" style="1" bestFit="1" customWidth="1"/>
    <col min="16132" max="16132" width="13" style="1" customWidth="1"/>
    <col min="16133" max="16133" width="11.25" style="1" bestFit="1" customWidth="1"/>
    <col min="16134" max="16134" width="11.75" style="1" customWidth="1"/>
    <col min="16135" max="16135" width="2.875" style="1" customWidth="1"/>
    <col min="16136" max="16136" width="13" style="1" bestFit="1" customWidth="1"/>
    <col min="16137" max="16137" width="14.875" style="1" bestFit="1" customWidth="1"/>
    <col min="16138" max="16138" width="13" style="1" bestFit="1" customWidth="1"/>
    <col min="16139" max="16384" width="8.25" style="1"/>
  </cols>
  <sheetData>
    <row r="1" spans="1:10">
      <c r="A1" s="279" t="s">
        <v>94</v>
      </c>
      <c r="B1" s="279"/>
      <c r="C1" s="279"/>
      <c r="D1" s="279"/>
      <c r="E1" s="279"/>
      <c r="F1" s="279"/>
      <c r="G1" s="279"/>
      <c r="H1" s="279"/>
      <c r="I1" s="279"/>
      <c r="J1" s="279"/>
    </row>
    <row r="2" spans="1:10">
      <c r="A2" s="279" t="s">
        <v>272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3"/>
      <c r="B4" s="3"/>
      <c r="C4" s="3"/>
      <c r="D4" s="3"/>
      <c r="E4" s="3"/>
      <c r="F4" s="3"/>
    </row>
    <row r="5" spans="1:10" s="6" customFormat="1" ht="51">
      <c r="A5" s="4" t="s">
        <v>226</v>
      </c>
      <c r="B5" s="4" t="s">
        <v>274</v>
      </c>
      <c r="C5" s="5" t="s">
        <v>53</v>
      </c>
      <c r="D5" s="4" t="s">
        <v>275</v>
      </c>
      <c r="E5" s="4" t="s">
        <v>276</v>
      </c>
      <c r="F5" s="4" t="s">
        <v>355</v>
      </c>
    </row>
    <row r="6" spans="1:10">
      <c r="D6" s="6" t="s">
        <v>231</v>
      </c>
      <c r="E6" s="6" t="s">
        <v>232</v>
      </c>
      <c r="F6" s="6" t="s">
        <v>233</v>
      </c>
    </row>
    <row r="7" spans="1:10">
      <c r="A7" s="2">
        <v>1</v>
      </c>
      <c r="B7" s="2">
        <v>7</v>
      </c>
      <c r="C7" s="1" t="s">
        <v>30</v>
      </c>
    </row>
    <row r="8" spans="1:10">
      <c r="A8" s="2">
        <f>+A7+1</f>
        <v>2</v>
      </c>
      <c r="B8" s="2">
        <v>7</v>
      </c>
      <c r="C8" s="7" t="s">
        <v>280</v>
      </c>
      <c r="D8" s="8">
        <v>41043</v>
      </c>
      <c r="E8" s="9">
        <v>7.49</v>
      </c>
      <c r="F8" s="9">
        <f>+'Exh. JAP-39 (Res RD)'!G29</f>
        <v>9</v>
      </c>
    </row>
    <row r="9" spans="1:10">
      <c r="A9" s="2">
        <f t="shared" ref="A9:A69" si="0">+A8+1</f>
        <v>3</v>
      </c>
      <c r="B9" s="2">
        <v>7</v>
      </c>
      <c r="C9" s="7" t="s">
        <v>281</v>
      </c>
      <c r="D9" s="8">
        <v>41043</v>
      </c>
      <c r="E9" s="9">
        <v>17.989999999999998</v>
      </c>
      <c r="F9" s="9">
        <f>+'Exh. JAP-39 (Res RD)'!G30</f>
        <v>21.6</v>
      </c>
    </row>
    <row r="10" spans="1:10">
      <c r="A10" s="2">
        <f t="shared" si="0"/>
        <v>4</v>
      </c>
      <c r="B10" s="2">
        <f t="shared" ref="B10:B12" si="1">+$B$7</f>
        <v>7</v>
      </c>
      <c r="C10" s="7"/>
      <c r="D10" s="7"/>
      <c r="E10" s="10"/>
      <c r="F10" s="10"/>
    </row>
    <row r="11" spans="1:10">
      <c r="A11" s="2">
        <f t="shared" si="0"/>
        <v>5</v>
      </c>
      <c r="B11" s="2">
        <f t="shared" si="1"/>
        <v>7</v>
      </c>
      <c r="C11" s="7" t="s">
        <v>348</v>
      </c>
      <c r="D11" s="8">
        <v>41456</v>
      </c>
      <c r="E11" s="11">
        <v>8.5578000000000001E-2</v>
      </c>
      <c r="F11" s="11">
        <f>+'Exh. JAP-39 (Res RD)'!G18</f>
        <v>9.1621999999999995E-2</v>
      </c>
    </row>
    <row r="12" spans="1:10">
      <c r="A12" s="2">
        <f t="shared" si="0"/>
        <v>6</v>
      </c>
      <c r="B12" s="2">
        <f t="shared" si="1"/>
        <v>7</v>
      </c>
      <c r="C12" s="7" t="s">
        <v>349</v>
      </c>
      <c r="D12" s="8">
        <f>+D11</f>
        <v>41456</v>
      </c>
      <c r="E12" s="11">
        <v>0.104157</v>
      </c>
      <c r="F12" s="11">
        <f>+'Exh. JAP-39 (Res RD)'!G19</f>
        <v>0.111513</v>
      </c>
    </row>
    <row r="13" spans="1:10">
      <c r="A13" s="2">
        <f t="shared" si="0"/>
        <v>7</v>
      </c>
    </row>
    <row r="14" spans="1:10">
      <c r="A14" s="2">
        <f t="shared" si="0"/>
        <v>8</v>
      </c>
      <c r="B14" s="2" t="s">
        <v>282</v>
      </c>
      <c r="C14" s="12" t="s">
        <v>283</v>
      </c>
      <c r="D14" s="12"/>
      <c r="E14" s="10"/>
      <c r="F14" s="10"/>
    </row>
    <row r="15" spans="1:10">
      <c r="A15" s="2">
        <f t="shared" si="0"/>
        <v>9</v>
      </c>
      <c r="B15" s="2" t="str">
        <f>+$B$14</f>
        <v>24 (08)</v>
      </c>
      <c r="C15" s="7" t="s">
        <v>280</v>
      </c>
      <c r="D15" s="8">
        <v>41043</v>
      </c>
      <c r="E15" s="9">
        <v>9.66</v>
      </c>
      <c r="F15" s="10">
        <f>+'Exh. JAP-39 (SV RD)'!G15</f>
        <v>10.25</v>
      </c>
    </row>
    <row r="16" spans="1:10">
      <c r="A16" s="2">
        <f t="shared" si="0"/>
        <v>10</v>
      </c>
      <c r="B16" s="2" t="str">
        <f>+$B$14</f>
        <v>24 (08)</v>
      </c>
      <c r="C16" s="7" t="s">
        <v>281</v>
      </c>
      <c r="D16" s="8">
        <v>41043</v>
      </c>
      <c r="E16" s="9">
        <v>24.55</v>
      </c>
      <c r="F16" s="10">
        <f>+'Exh. JAP-39 (SV RD)'!G16</f>
        <v>26.05</v>
      </c>
    </row>
    <row r="17" spans="1:6">
      <c r="A17" s="2">
        <f t="shared" si="0"/>
        <v>11</v>
      </c>
      <c r="B17" s="2" t="str">
        <f>+$B$14</f>
        <v>24 (08)</v>
      </c>
      <c r="C17" s="7"/>
      <c r="D17" s="7"/>
      <c r="E17" s="10"/>
      <c r="F17" s="10"/>
    </row>
    <row r="18" spans="1:6">
      <c r="A18" s="2">
        <f t="shared" si="0"/>
        <v>12</v>
      </c>
      <c r="B18" s="2" t="str">
        <f>+$B$14</f>
        <v>24 (08)</v>
      </c>
      <c r="C18" s="7" t="s">
        <v>284</v>
      </c>
      <c r="D18" s="8">
        <v>41456</v>
      </c>
      <c r="E18" s="11">
        <v>8.9456999999999995E-2</v>
      </c>
      <c r="F18" s="11">
        <f>+'Exh. JAP-39 (SV RD)'!G19</f>
        <v>9.4936000000000006E-2</v>
      </c>
    </row>
    <row r="19" spans="1:6">
      <c r="A19" s="2">
        <f t="shared" si="0"/>
        <v>13</v>
      </c>
      <c r="B19" s="2" t="str">
        <f>+$B$14</f>
        <v>24 (08)</v>
      </c>
      <c r="C19" s="7" t="s">
        <v>285</v>
      </c>
      <c r="D19" s="8">
        <f>+D18</f>
        <v>41456</v>
      </c>
      <c r="E19" s="11">
        <v>8.6359000000000005E-2</v>
      </c>
      <c r="F19" s="11">
        <f>+'Exh. JAP-39 (SV RD)'!G20</f>
        <v>9.1646000000000005E-2</v>
      </c>
    </row>
    <row r="20" spans="1:6">
      <c r="A20" s="2">
        <f t="shared" si="0"/>
        <v>14</v>
      </c>
    </row>
    <row r="21" spans="1:6">
      <c r="A21" s="2">
        <f t="shared" si="0"/>
        <v>15</v>
      </c>
      <c r="B21" s="13" t="s">
        <v>286</v>
      </c>
      <c r="C21" s="12" t="s">
        <v>287</v>
      </c>
      <c r="D21" s="12"/>
    </row>
    <row r="22" spans="1:6">
      <c r="A22" s="2">
        <f t="shared" si="0"/>
        <v>16</v>
      </c>
      <c r="B22" s="13" t="str">
        <f>+$B$21</f>
        <v>25 (7A) (11)</v>
      </c>
      <c r="C22" s="7" t="s">
        <v>288</v>
      </c>
      <c r="D22" s="8">
        <v>41043</v>
      </c>
      <c r="E22" s="9">
        <v>51.67</v>
      </c>
      <c r="F22" s="10">
        <f>+'Exh. JAP-39 (SV RD)'!G31</f>
        <v>54.83</v>
      </c>
    </row>
    <row r="23" spans="1:6">
      <c r="A23" s="2">
        <f t="shared" si="0"/>
        <v>17</v>
      </c>
      <c r="B23" s="13" t="str">
        <f t="shared" ref="B23:B32" si="2">+$B$21</f>
        <v>25 (7A) (11)</v>
      </c>
      <c r="C23" s="7"/>
      <c r="D23" s="7"/>
      <c r="E23" s="10"/>
      <c r="F23" s="10"/>
    </row>
    <row r="24" spans="1:6">
      <c r="A24" s="2">
        <f t="shared" si="0"/>
        <v>18</v>
      </c>
      <c r="B24" s="13" t="str">
        <f t="shared" si="2"/>
        <v>25 (7A) (11)</v>
      </c>
      <c r="C24" s="7" t="s">
        <v>289</v>
      </c>
      <c r="D24" s="8">
        <v>41456</v>
      </c>
      <c r="E24" s="11">
        <v>8.9582999999999996E-2</v>
      </c>
      <c r="F24" s="11">
        <f>+'Exh. JAP-39 (SV RD)'!G33</f>
        <v>9.5068E-2</v>
      </c>
    </row>
    <row r="25" spans="1:6">
      <c r="A25" s="2">
        <f t="shared" si="0"/>
        <v>19</v>
      </c>
      <c r="B25" s="13" t="str">
        <f t="shared" si="2"/>
        <v>25 (7A) (11)</v>
      </c>
      <c r="C25" s="7" t="s">
        <v>290</v>
      </c>
      <c r="D25" s="8">
        <f>+D24</f>
        <v>41456</v>
      </c>
      <c r="E25" s="11">
        <v>8.1430000000000002E-2</v>
      </c>
      <c r="F25" s="11">
        <f>+'Exh. JAP-39 (SV RD)'!G34</f>
        <v>8.6416000000000007E-2</v>
      </c>
    </row>
    <row r="26" spans="1:6">
      <c r="A26" s="2">
        <f t="shared" si="0"/>
        <v>20</v>
      </c>
      <c r="B26" s="13" t="str">
        <f t="shared" si="2"/>
        <v>25 (7A) (11)</v>
      </c>
      <c r="C26" s="7" t="s">
        <v>291</v>
      </c>
      <c r="D26" s="8">
        <f>+D25</f>
        <v>41456</v>
      </c>
      <c r="E26" s="11">
        <v>6.4072000000000004E-2</v>
      </c>
      <c r="F26" s="11">
        <f>+'Exh. JAP-39 (SV RD)'!G35</f>
        <v>6.7995E-2</v>
      </c>
    </row>
    <row r="27" spans="1:6">
      <c r="A27" s="2">
        <f t="shared" si="0"/>
        <v>21</v>
      </c>
      <c r="B27" s="13" t="str">
        <f t="shared" si="2"/>
        <v>25 (7A) (11)</v>
      </c>
      <c r="C27" s="14"/>
      <c r="D27" s="8"/>
    </row>
    <row r="28" spans="1:6">
      <c r="A28" s="2">
        <f t="shared" si="0"/>
        <v>22</v>
      </c>
      <c r="B28" s="13" t="str">
        <f t="shared" si="2"/>
        <v>25 (7A) (11)</v>
      </c>
      <c r="C28" s="7" t="s">
        <v>292</v>
      </c>
      <c r="D28" s="8">
        <f>+$D$8</f>
        <v>41043</v>
      </c>
      <c r="E28" s="9">
        <v>0</v>
      </c>
      <c r="F28" s="9">
        <v>0</v>
      </c>
    </row>
    <row r="29" spans="1:6">
      <c r="A29" s="2">
        <f t="shared" si="0"/>
        <v>23</v>
      </c>
      <c r="B29" s="13" t="str">
        <f t="shared" si="2"/>
        <v>25 (7A) (11)</v>
      </c>
      <c r="C29" s="7" t="s">
        <v>293</v>
      </c>
      <c r="D29" s="8">
        <f>+$D$8</f>
        <v>41043</v>
      </c>
      <c r="E29" s="9">
        <v>9.01</v>
      </c>
      <c r="F29" s="9">
        <f>+'Exh. JAP-39 (SV RD)'!G41</f>
        <v>9.56</v>
      </c>
    </row>
    <row r="30" spans="1:6">
      <c r="A30" s="2">
        <f t="shared" si="0"/>
        <v>24</v>
      </c>
      <c r="B30" s="13" t="str">
        <f t="shared" si="2"/>
        <v>25 (7A) (11)</v>
      </c>
      <c r="C30" s="7" t="s">
        <v>294</v>
      </c>
      <c r="D30" s="8">
        <f>+$D$8</f>
        <v>41043</v>
      </c>
      <c r="E30" s="9">
        <v>6.01</v>
      </c>
      <c r="F30" s="9">
        <f>+'Exh. JAP-39 (SV RD)'!G42</f>
        <v>6.38</v>
      </c>
    </row>
    <row r="31" spans="1:6">
      <c r="A31" s="2">
        <f t="shared" si="0"/>
        <v>25</v>
      </c>
      <c r="B31" s="13" t="str">
        <f t="shared" si="2"/>
        <v>25 (7A) (11)</v>
      </c>
      <c r="C31" s="7"/>
      <c r="D31" s="7"/>
      <c r="E31" s="9"/>
      <c r="F31" s="9"/>
    </row>
    <row r="32" spans="1:6">
      <c r="A32" s="2">
        <f t="shared" si="0"/>
        <v>26</v>
      </c>
      <c r="B32" s="13" t="str">
        <f t="shared" si="2"/>
        <v>25 (7A) (11)</v>
      </c>
      <c r="C32" s="7" t="s">
        <v>295</v>
      </c>
      <c r="D32" s="8">
        <f>+$D$8</f>
        <v>41043</v>
      </c>
      <c r="E32" s="15">
        <v>2.8300000000000001E-3</v>
      </c>
      <c r="F32" s="15">
        <f>+'Exh. JAP-39 (SV RD)'!G45</f>
        <v>3.0000000000000001E-3</v>
      </c>
    </row>
    <row r="33" spans="1:6">
      <c r="A33" s="2">
        <f t="shared" si="0"/>
        <v>27</v>
      </c>
    </row>
    <row r="34" spans="1:6">
      <c r="A34" s="2">
        <f t="shared" si="0"/>
        <v>28</v>
      </c>
      <c r="B34" s="2" t="s">
        <v>296</v>
      </c>
      <c r="C34" s="12" t="s">
        <v>297</v>
      </c>
      <c r="D34" s="12"/>
    </row>
    <row r="35" spans="1:6">
      <c r="A35" s="2">
        <f t="shared" si="0"/>
        <v>29</v>
      </c>
      <c r="B35" s="2" t="str">
        <f>+$B$34</f>
        <v>26 (12)</v>
      </c>
      <c r="C35" s="7" t="s">
        <v>288</v>
      </c>
      <c r="D35" s="8">
        <f>+$D$8</f>
        <v>41043</v>
      </c>
      <c r="E35" s="9">
        <v>104.46</v>
      </c>
      <c r="F35" s="10">
        <f>+'Exh. JAP-39 (SV RD)'!G55</f>
        <v>110.86</v>
      </c>
    </row>
    <row r="36" spans="1:6">
      <c r="A36" s="2">
        <f t="shared" si="0"/>
        <v>30</v>
      </c>
      <c r="B36" s="2" t="str">
        <f t="shared" ref="B36:B52" si="3">+$B$34</f>
        <v>26 (12)</v>
      </c>
      <c r="C36" s="7"/>
      <c r="D36" s="7"/>
      <c r="E36" s="10"/>
      <c r="F36" s="10"/>
    </row>
    <row r="37" spans="1:6">
      <c r="A37" s="2">
        <f t="shared" si="0"/>
        <v>31</v>
      </c>
      <c r="B37" s="2" t="str">
        <f t="shared" si="3"/>
        <v>26 (12)</v>
      </c>
      <c r="C37" s="7" t="s">
        <v>298</v>
      </c>
      <c r="D37" s="8">
        <v>41640</v>
      </c>
      <c r="E37" s="11">
        <v>5.6732999999999999E-2</v>
      </c>
      <c r="F37" s="11">
        <f>+'Exh. JAP-39 (SV RD)'!G57</f>
        <v>5.9951000000000004E-2</v>
      </c>
    </row>
    <row r="38" spans="1:6">
      <c r="A38" s="2">
        <f t="shared" si="0"/>
        <v>32</v>
      </c>
      <c r="B38" s="2" t="str">
        <f t="shared" si="3"/>
        <v>26 (12)</v>
      </c>
      <c r="C38" s="14"/>
      <c r="D38" s="14"/>
    </row>
    <row r="39" spans="1:6">
      <c r="A39" s="2">
        <f t="shared" si="0"/>
        <v>33</v>
      </c>
      <c r="B39" s="2" t="str">
        <f t="shared" si="3"/>
        <v>26 (12)</v>
      </c>
      <c r="C39" s="7" t="s">
        <v>299</v>
      </c>
      <c r="D39" s="8">
        <v>41640</v>
      </c>
      <c r="E39" s="9">
        <v>11.65</v>
      </c>
      <c r="F39" s="9">
        <f>+'Exh. JAP-39 (SV RD)'!G63</f>
        <v>12.48</v>
      </c>
    </row>
    <row r="40" spans="1:6">
      <c r="A40" s="2">
        <f t="shared" si="0"/>
        <v>34</v>
      </c>
      <c r="B40" s="2" t="str">
        <f t="shared" si="3"/>
        <v>26 (12)</v>
      </c>
      <c r="C40" s="7" t="s">
        <v>300</v>
      </c>
      <c r="D40" s="8">
        <f>+D39</f>
        <v>41640</v>
      </c>
      <c r="E40" s="9">
        <v>7.76</v>
      </c>
      <c r="F40" s="9">
        <f>+'Exh. JAP-39 (SV RD)'!G64</f>
        <v>8.33</v>
      </c>
    </row>
    <row r="41" spans="1:6">
      <c r="A41" s="2">
        <f t="shared" si="0"/>
        <v>35</v>
      </c>
      <c r="B41" s="2" t="str">
        <f t="shared" si="3"/>
        <v>26 (12)</v>
      </c>
      <c r="C41" s="7"/>
      <c r="D41" s="7"/>
      <c r="E41" s="9"/>
      <c r="F41" s="9"/>
    </row>
    <row r="42" spans="1:6">
      <c r="A42" s="2">
        <f t="shared" si="0"/>
        <v>36</v>
      </c>
      <c r="B42" s="2" t="str">
        <f t="shared" si="3"/>
        <v>26 (12)</v>
      </c>
      <c r="C42" s="7" t="s">
        <v>295</v>
      </c>
      <c r="D42" s="8">
        <f>+$D$8</f>
        <v>41043</v>
      </c>
      <c r="E42" s="15">
        <v>1.24E-3</v>
      </c>
      <c r="F42" s="15">
        <f>+'Exh. JAP-39 (SV RD)'!G67</f>
        <v>1.32E-3</v>
      </c>
    </row>
    <row r="43" spans="1:6">
      <c r="A43" s="2">
        <f t="shared" si="0"/>
        <v>37</v>
      </c>
      <c r="B43" s="2" t="str">
        <f t="shared" si="3"/>
        <v>26 (12)</v>
      </c>
      <c r="C43" s="7"/>
      <c r="D43" s="8"/>
      <c r="E43" s="15"/>
      <c r="F43" s="15"/>
    </row>
    <row r="44" spans="1:6">
      <c r="A44" s="2">
        <f t="shared" si="0"/>
        <v>38</v>
      </c>
      <c r="B44" s="2" t="str">
        <f t="shared" si="3"/>
        <v>26 (12)</v>
      </c>
      <c r="C44" s="7" t="s">
        <v>301</v>
      </c>
      <c r="D44" s="8"/>
      <c r="E44" s="15"/>
      <c r="F44" s="15"/>
    </row>
    <row r="45" spans="1:6">
      <c r="A45" s="2">
        <f t="shared" si="0"/>
        <v>39</v>
      </c>
      <c r="B45" s="2" t="str">
        <f t="shared" si="3"/>
        <v>26 (12)</v>
      </c>
      <c r="C45" s="7" t="s">
        <v>302</v>
      </c>
      <c r="D45" s="8">
        <f>+$D$8</f>
        <v>41043</v>
      </c>
      <c r="E45" s="9">
        <v>235.05</v>
      </c>
      <c r="F45" s="9">
        <f>+'Exh. JAP-39 (SV RD)'!G76</f>
        <v>249.44</v>
      </c>
    </row>
    <row r="46" spans="1:6">
      <c r="A46" s="2">
        <f t="shared" si="0"/>
        <v>40</v>
      </c>
      <c r="B46" s="2" t="str">
        <f t="shared" si="3"/>
        <v>26 (12)</v>
      </c>
      <c r="C46" s="7" t="s">
        <v>303</v>
      </c>
      <c r="D46" s="8">
        <f>+D40</f>
        <v>41640</v>
      </c>
      <c r="E46" s="9">
        <v>-0.35</v>
      </c>
      <c r="F46" s="9">
        <f>+'Exh. JAP-39 (SV RD)'!G88</f>
        <v>-0.41</v>
      </c>
    </row>
    <row r="47" spans="1:6">
      <c r="A47" s="2">
        <f t="shared" si="0"/>
        <v>41</v>
      </c>
      <c r="B47" s="2" t="str">
        <f t="shared" si="3"/>
        <v>26 (12)</v>
      </c>
      <c r="C47" s="7" t="s">
        <v>304</v>
      </c>
      <c r="D47" s="8">
        <f>+D46</f>
        <v>41640</v>
      </c>
      <c r="E47" s="16">
        <v>3.4500000000000003E-2</v>
      </c>
      <c r="F47" s="16">
        <f>+'Exh. JAP-39 (SV RD)'!L99</f>
        <v>3.9399999999999998E-2</v>
      </c>
    </row>
    <row r="48" spans="1:6">
      <c r="A48" s="2">
        <f t="shared" si="0"/>
        <v>42</v>
      </c>
      <c r="B48" s="2" t="str">
        <f t="shared" si="3"/>
        <v>26 (12)</v>
      </c>
      <c r="C48" s="17" t="s">
        <v>305</v>
      </c>
      <c r="D48" s="8">
        <f>+$D$8</f>
        <v>41043</v>
      </c>
      <c r="E48" s="9">
        <f>+E45+E35</f>
        <v>339.51</v>
      </c>
      <c r="F48" s="9">
        <f>+F45+F35</f>
        <v>360.3</v>
      </c>
    </row>
    <row r="49" spans="1:6">
      <c r="A49" s="2">
        <f t="shared" si="0"/>
        <v>43</v>
      </c>
      <c r="B49" s="2" t="str">
        <f t="shared" si="3"/>
        <v>26 (12)</v>
      </c>
      <c r="C49" s="7" t="s">
        <v>306</v>
      </c>
      <c r="D49" s="8">
        <f>+D47</f>
        <v>41640</v>
      </c>
      <c r="E49" s="9">
        <f>+E46+E39</f>
        <v>11.3</v>
      </c>
      <c r="F49" s="9">
        <f>+F46+F39</f>
        <v>12.07</v>
      </c>
    </row>
    <row r="50" spans="1:6">
      <c r="A50" s="2">
        <f t="shared" si="0"/>
        <v>44</v>
      </c>
      <c r="B50" s="2" t="str">
        <f t="shared" si="3"/>
        <v>26 (12)</v>
      </c>
      <c r="C50" s="7" t="s">
        <v>307</v>
      </c>
      <c r="D50" s="8">
        <f>+D49</f>
        <v>41640</v>
      </c>
      <c r="E50" s="9">
        <f>+E46+E40</f>
        <v>7.41</v>
      </c>
      <c r="F50" s="9">
        <f>+F46+F40</f>
        <v>7.92</v>
      </c>
    </row>
    <row r="51" spans="1:6">
      <c r="A51" s="2">
        <f t="shared" si="0"/>
        <v>45</v>
      </c>
      <c r="B51" s="2" t="str">
        <f t="shared" si="3"/>
        <v>26 (12)</v>
      </c>
      <c r="C51" s="17" t="s">
        <v>308</v>
      </c>
      <c r="D51" s="8">
        <f>+D50</f>
        <v>41640</v>
      </c>
      <c r="E51" s="11">
        <v>5.4775999999999998E-2</v>
      </c>
      <c r="F51" s="11">
        <f>+F37-ROUND(F47*F37,6)</f>
        <v>5.7589000000000001E-2</v>
      </c>
    </row>
    <row r="52" spans="1:6">
      <c r="A52" s="2">
        <f t="shared" si="0"/>
        <v>46</v>
      </c>
      <c r="B52" s="2" t="str">
        <f t="shared" si="3"/>
        <v>26 (12)</v>
      </c>
      <c r="C52" s="7" t="s">
        <v>309</v>
      </c>
      <c r="D52" s="8">
        <f>+D51</f>
        <v>41640</v>
      </c>
      <c r="E52" s="15">
        <v>1.1999999999999999E-3</v>
      </c>
      <c r="F52" s="15">
        <f>+F42-ROUND(F47*F42,5)</f>
        <v>1.2700000000000001E-3</v>
      </c>
    </row>
    <row r="53" spans="1:6">
      <c r="A53" s="2">
        <f t="shared" si="0"/>
        <v>47</v>
      </c>
    </row>
    <row r="54" spans="1:6">
      <c r="A54" s="2">
        <f t="shared" si="0"/>
        <v>48</v>
      </c>
      <c r="B54" s="2">
        <v>29</v>
      </c>
      <c r="C54" s="12" t="s">
        <v>287</v>
      </c>
      <c r="D54" s="12"/>
    </row>
    <row r="55" spans="1:6">
      <c r="A55" s="2">
        <f t="shared" si="0"/>
        <v>49</v>
      </c>
      <c r="B55" s="2">
        <f>+$B$54</f>
        <v>29</v>
      </c>
      <c r="C55" s="7" t="s">
        <v>280</v>
      </c>
      <c r="D55" s="8">
        <f>+$D$8</f>
        <v>41043</v>
      </c>
      <c r="E55" s="9">
        <v>9.56</v>
      </c>
      <c r="F55" s="10">
        <f>+'Exh. JAP-39 (SV RD)'!G106</f>
        <v>10.15</v>
      </c>
    </row>
    <row r="56" spans="1:6">
      <c r="A56" s="2">
        <f t="shared" si="0"/>
        <v>50</v>
      </c>
      <c r="B56" s="2">
        <f t="shared" ref="B56:B67" si="4">+$B$54</f>
        <v>29</v>
      </c>
      <c r="C56" s="7" t="s">
        <v>281</v>
      </c>
      <c r="D56" s="8">
        <f>+$D$8</f>
        <v>41043</v>
      </c>
      <c r="E56" s="9">
        <v>24.28</v>
      </c>
      <c r="F56" s="10">
        <f>+'Exh. JAP-39 (SV RD)'!G107</f>
        <v>25.77</v>
      </c>
    </row>
    <row r="57" spans="1:6">
      <c r="A57" s="2">
        <f t="shared" si="0"/>
        <v>51</v>
      </c>
      <c r="B57" s="2">
        <f t="shared" si="4"/>
        <v>29</v>
      </c>
      <c r="C57" s="7"/>
      <c r="D57" s="7"/>
      <c r="E57" s="10"/>
      <c r="F57" s="10"/>
    </row>
    <row r="58" spans="1:6">
      <c r="A58" s="2">
        <f t="shared" si="0"/>
        <v>52</v>
      </c>
      <c r="B58" s="2">
        <f t="shared" si="4"/>
        <v>29</v>
      </c>
      <c r="C58" s="7" t="s">
        <v>289</v>
      </c>
      <c r="D58" s="8">
        <v>41456</v>
      </c>
      <c r="E58" s="11">
        <v>8.9582999999999996E-2</v>
      </c>
      <c r="F58" s="11">
        <f>+'Exh. JAP-39 (SV RD)'!G110</f>
        <v>9.5068E-2</v>
      </c>
    </row>
    <row r="59" spans="1:6">
      <c r="A59" s="2">
        <f t="shared" si="0"/>
        <v>53</v>
      </c>
      <c r="B59" s="2">
        <f t="shared" si="4"/>
        <v>29</v>
      </c>
      <c r="C59" s="7" t="s">
        <v>310</v>
      </c>
      <c r="D59" s="8">
        <f>+D58</f>
        <v>41456</v>
      </c>
      <c r="E59" s="11">
        <v>6.8035999999999999E-2</v>
      </c>
      <c r="F59" s="11">
        <f>+'Exh. JAP-39 (SV RD)'!G111</f>
        <v>7.2202000000000002E-2</v>
      </c>
    </row>
    <row r="60" spans="1:6">
      <c r="A60" s="2">
        <f t="shared" si="0"/>
        <v>54</v>
      </c>
      <c r="B60" s="2">
        <f t="shared" si="4"/>
        <v>29</v>
      </c>
      <c r="C60" s="7" t="s">
        <v>290</v>
      </c>
      <c r="D60" s="8">
        <f>+D59</f>
        <v>41456</v>
      </c>
      <c r="E60" s="11">
        <v>6.2075999999999999E-2</v>
      </c>
      <c r="F60" s="11">
        <f>+'Exh. JAP-39 (SV RD)'!G112</f>
        <v>6.5877000000000005E-2</v>
      </c>
    </row>
    <row r="61" spans="1:6">
      <c r="A61" s="2">
        <f t="shared" si="0"/>
        <v>55</v>
      </c>
      <c r="B61" s="2">
        <f t="shared" si="4"/>
        <v>29</v>
      </c>
      <c r="C61" s="7" t="s">
        <v>311</v>
      </c>
      <c r="D61" s="8">
        <f>+D60</f>
        <v>41456</v>
      </c>
      <c r="E61" s="11">
        <v>5.3189E-2</v>
      </c>
      <c r="F61" s="11">
        <f>+'Exh. JAP-39 (SV RD)'!G113</f>
        <v>5.6446000000000003E-2</v>
      </c>
    </row>
    <row r="62" spans="1:6">
      <c r="A62" s="2">
        <f t="shared" si="0"/>
        <v>56</v>
      </c>
      <c r="B62" s="2">
        <f t="shared" si="4"/>
        <v>29</v>
      </c>
      <c r="C62" s="14"/>
      <c r="D62" s="14"/>
    </row>
    <row r="63" spans="1:6">
      <c r="A63" s="2">
        <f t="shared" si="0"/>
        <v>57</v>
      </c>
      <c r="B63" s="2">
        <f t="shared" si="4"/>
        <v>29</v>
      </c>
      <c r="C63" s="7" t="s">
        <v>312</v>
      </c>
      <c r="D63" s="8">
        <f>+$D$8</f>
        <v>41043</v>
      </c>
      <c r="E63" s="9">
        <v>0</v>
      </c>
      <c r="F63" s="9">
        <v>0</v>
      </c>
    </row>
    <row r="64" spans="1:6">
      <c r="A64" s="2">
        <f t="shared" si="0"/>
        <v>58</v>
      </c>
      <c r="B64" s="2">
        <f t="shared" si="4"/>
        <v>29</v>
      </c>
      <c r="C64" s="7" t="s">
        <v>293</v>
      </c>
      <c r="D64" s="8">
        <f>+$D$8</f>
        <v>41043</v>
      </c>
      <c r="E64" s="9">
        <v>8.83</v>
      </c>
      <c r="F64" s="9">
        <f>+'Exh. JAP-39 (SV RD)'!G120</f>
        <v>9.3699999999999992</v>
      </c>
    </row>
    <row r="65" spans="1:6">
      <c r="A65" s="2">
        <f t="shared" si="0"/>
        <v>59</v>
      </c>
      <c r="B65" s="2">
        <f t="shared" si="4"/>
        <v>29</v>
      </c>
      <c r="C65" s="7" t="s">
        <v>294</v>
      </c>
      <c r="D65" s="8">
        <f>+$D$8</f>
        <v>41043</v>
      </c>
      <c r="E65" s="9">
        <v>4.3499999999999996</v>
      </c>
      <c r="F65" s="9">
        <f>+'Exh. JAP-39 (SV RD)'!G121</f>
        <v>4.62</v>
      </c>
    </row>
    <row r="66" spans="1:6">
      <c r="A66" s="2">
        <f t="shared" si="0"/>
        <v>60</v>
      </c>
      <c r="B66" s="2">
        <f t="shared" si="4"/>
        <v>29</v>
      </c>
      <c r="C66" s="7"/>
      <c r="D66" s="7"/>
      <c r="E66" s="9"/>
      <c r="F66" s="9"/>
    </row>
    <row r="67" spans="1:6">
      <c r="A67" s="2">
        <f t="shared" si="0"/>
        <v>61</v>
      </c>
      <c r="B67" s="2">
        <f t="shared" si="4"/>
        <v>29</v>
      </c>
      <c r="C67" s="7" t="s">
        <v>295</v>
      </c>
      <c r="D67" s="8">
        <f>+D65</f>
        <v>41043</v>
      </c>
      <c r="E67" s="15">
        <v>2.81E-3</v>
      </c>
      <c r="F67" s="15">
        <f>+'Exh. JAP-39 (SV RD)'!G124</f>
        <v>2.98E-3</v>
      </c>
    </row>
    <row r="68" spans="1:6">
      <c r="A68" s="2">
        <f t="shared" si="0"/>
        <v>62</v>
      </c>
    </row>
    <row r="69" spans="1:6">
      <c r="A69" s="2">
        <f t="shared" si="0"/>
        <v>63</v>
      </c>
      <c r="B69" s="2" t="s">
        <v>313</v>
      </c>
      <c r="C69" s="12" t="s">
        <v>314</v>
      </c>
      <c r="D69" s="12"/>
      <c r="E69" s="9"/>
    </row>
    <row r="70" spans="1:6">
      <c r="A70" s="2">
        <f t="shared" ref="A70:A133" si="5">+A69+1</f>
        <v>64</v>
      </c>
      <c r="B70" s="2" t="str">
        <f>+$B$69</f>
        <v>31 (10)</v>
      </c>
      <c r="C70" s="7" t="s">
        <v>288</v>
      </c>
      <c r="D70" s="8">
        <f>+$D$8</f>
        <v>41043</v>
      </c>
      <c r="E70" s="9">
        <v>339.51</v>
      </c>
      <c r="F70" s="10">
        <f>+'Exh. JAP-39 (PV RD)'!G15</f>
        <v>360.3</v>
      </c>
    </row>
    <row r="71" spans="1:6">
      <c r="A71" s="2">
        <f t="shared" si="5"/>
        <v>65</v>
      </c>
      <c r="B71" s="2" t="str">
        <f t="shared" ref="B71:B77" si="6">+$B$69</f>
        <v>31 (10)</v>
      </c>
      <c r="C71" s="7"/>
      <c r="D71" s="7"/>
      <c r="E71" s="10"/>
      <c r="F71" s="10"/>
    </row>
    <row r="72" spans="1:6">
      <c r="A72" s="2">
        <f t="shared" si="5"/>
        <v>66</v>
      </c>
      <c r="B72" s="2" t="str">
        <f t="shared" si="6"/>
        <v>31 (10)</v>
      </c>
      <c r="C72" s="7" t="s">
        <v>315</v>
      </c>
      <c r="D72" s="8">
        <f>+D52</f>
        <v>41640</v>
      </c>
      <c r="E72" s="11">
        <v>5.4346999999999999E-2</v>
      </c>
      <c r="F72" s="11">
        <f>+'Exh. JAP-39 (PV RD)'!G17</f>
        <v>5.7684000000000006E-2</v>
      </c>
    </row>
    <row r="73" spans="1:6">
      <c r="A73" s="2">
        <f t="shared" si="5"/>
        <v>67</v>
      </c>
      <c r="B73" s="2" t="str">
        <f t="shared" si="6"/>
        <v>31 (10)</v>
      </c>
      <c r="C73" s="14"/>
      <c r="D73" s="14"/>
    </row>
    <row r="74" spans="1:6">
      <c r="A74" s="2">
        <f t="shared" si="5"/>
        <v>68</v>
      </c>
      <c r="B74" s="2" t="str">
        <f t="shared" si="6"/>
        <v>31 (10)</v>
      </c>
      <c r="C74" s="7" t="s">
        <v>299</v>
      </c>
      <c r="D74" s="8">
        <f>+D72</f>
        <v>41640</v>
      </c>
      <c r="E74" s="9">
        <v>11.32</v>
      </c>
      <c r="F74" s="9">
        <f>+'Exh. JAP-39 (PV RD)'!G23</f>
        <v>12.01</v>
      </c>
    </row>
    <row r="75" spans="1:6">
      <c r="A75" s="2">
        <f t="shared" si="5"/>
        <v>69</v>
      </c>
      <c r="B75" s="2" t="str">
        <f t="shared" si="6"/>
        <v>31 (10)</v>
      </c>
      <c r="C75" s="7" t="s">
        <v>300</v>
      </c>
      <c r="D75" s="8">
        <f>+D74</f>
        <v>41640</v>
      </c>
      <c r="E75" s="9">
        <v>7.55</v>
      </c>
      <c r="F75" s="9">
        <f>+'Exh. JAP-39 (PV RD)'!G24</f>
        <v>8.01</v>
      </c>
    </row>
    <row r="76" spans="1:6">
      <c r="A76" s="2">
        <f t="shared" si="5"/>
        <v>70</v>
      </c>
      <c r="B76" s="2" t="str">
        <f t="shared" si="6"/>
        <v>31 (10)</v>
      </c>
      <c r="C76" s="7"/>
      <c r="D76" s="7"/>
      <c r="E76" s="9"/>
      <c r="F76" s="9"/>
    </row>
    <row r="77" spans="1:6">
      <c r="A77" s="2">
        <f t="shared" si="5"/>
        <v>71</v>
      </c>
      <c r="B77" s="2" t="str">
        <f t="shared" si="6"/>
        <v>31 (10)</v>
      </c>
      <c r="C77" s="7" t="s">
        <v>295</v>
      </c>
      <c r="D77" s="8">
        <f>+$D$8</f>
        <v>41043</v>
      </c>
      <c r="E77" s="15">
        <v>1.06E-3</v>
      </c>
      <c r="F77" s="15">
        <f>+'Exh. JAP-39 (PV RD)'!G27</f>
        <v>1.1199999999999999E-3</v>
      </c>
    </row>
    <row r="78" spans="1:6">
      <c r="A78" s="2">
        <f t="shared" si="5"/>
        <v>72</v>
      </c>
    </row>
    <row r="79" spans="1:6">
      <c r="A79" s="2">
        <f t="shared" si="5"/>
        <v>73</v>
      </c>
      <c r="B79" s="2">
        <v>35</v>
      </c>
      <c r="C79" s="12" t="s">
        <v>316</v>
      </c>
      <c r="D79" s="12"/>
    </row>
    <row r="80" spans="1:6">
      <c r="A80" s="2">
        <f t="shared" si="5"/>
        <v>74</v>
      </c>
      <c r="B80" s="2">
        <f>+$B$79</f>
        <v>35</v>
      </c>
      <c r="C80" s="7" t="s">
        <v>288</v>
      </c>
      <c r="D80" s="8">
        <f>+$D$8</f>
        <v>41043</v>
      </c>
      <c r="E80" s="9">
        <v>339.51</v>
      </c>
      <c r="F80" s="10">
        <f>+'Exh. JAP-39 (PV RD)'!G37</f>
        <v>360.3</v>
      </c>
    </row>
    <row r="81" spans="1:6">
      <c r="A81" s="2">
        <f t="shared" si="5"/>
        <v>75</v>
      </c>
      <c r="B81" s="2">
        <f t="shared" ref="B81:B87" si="7">+$B$79</f>
        <v>35</v>
      </c>
      <c r="C81" s="7"/>
      <c r="D81" s="7"/>
      <c r="E81" s="10"/>
      <c r="F81" s="10"/>
    </row>
    <row r="82" spans="1:6">
      <c r="A82" s="2">
        <f t="shared" si="5"/>
        <v>76</v>
      </c>
      <c r="B82" s="2">
        <f t="shared" si="7"/>
        <v>35</v>
      </c>
      <c r="C82" s="7" t="s">
        <v>315</v>
      </c>
      <c r="D82" s="8">
        <f>+D80</f>
        <v>41043</v>
      </c>
      <c r="E82" s="11">
        <v>4.8598000000000002E-2</v>
      </c>
      <c r="F82" s="11">
        <f>+'Exh. JAP-39 (PV RD)'!G39</f>
        <v>5.1573000000000001E-2</v>
      </c>
    </row>
    <row r="83" spans="1:6">
      <c r="A83" s="2">
        <f t="shared" si="5"/>
        <v>77</v>
      </c>
      <c r="B83" s="2">
        <f t="shared" si="7"/>
        <v>35</v>
      </c>
      <c r="C83" s="14"/>
      <c r="D83" s="14"/>
    </row>
    <row r="84" spans="1:6">
      <c r="A84" s="2">
        <f t="shared" si="5"/>
        <v>78</v>
      </c>
      <c r="B84" s="2">
        <f t="shared" si="7"/>
        <v>35</v>
      </c>
      <c r="C84" s="7" t="s">
        <v>317</v>
      </c>
      <c r="D84" s="8">
        <f>+$D$8</f>
        <v>41043</v>
      </c>
      <c r="E84" s="9">
        <v>4.49</v>
      </c>
      <c r="F84" s="9">
        <f>+'Exh. JAP-39 (PV RD)'!G45</f>
        <v>4.76</v>
      </c>
    </row>
    <row r="85" spans="1:6">
      <c r="A85" s="2">
        <f t="shared" si="5"/>
        <v>79</v>
      </c>
      <c r="B85" s="2">
        <f t="shared" si="7"/>
        <v>35</v>
      </c>
      <c r="C85" s="7" t="s">
        <v>318</v>
      </c>
      <c r="D85" s="8">
        <f>+$D$8</f>
        <v>41043</v>
      </c>
      <c r="E85" s="9">
        <v>2.99</v>
      </c>
      <c r="F85" s="9">
        <f>+'Exh. JAP-39 (PV RD)'!G46</f>
        <v>3.17</v>
      </c>
    </row>
    <row r="86" spans="1:6">
      <c r="A86" s="2">
        <f t="shared" si="5"/>
        <v>80</v>
      </c>
      <c r="B86" s="2">
        <f t="shared" si="7"/>
        <v>35</v>
      </c>
      <c r="C86" s="7"/>
      <c r="D86" s="7"/>
      <c r="E86" s="9"/>
      <c r="F86" s="9"/>
    </row>
    <row r="87" spans="1:6">
      <c r="A87" s="2">
        <f t="shared" si="5"/>
        <v>81</v>
      </c>
      <c r="B87" s="2">
        <f t="shared" si="7"/>
        <v>35</v>
      </c>
      <c r="C87" s="7" t="s">
        <v>295</v>
      </c>
      <c r="D87" s="8">
        <f>+$D$8</f>
        <v>41043</v>
      </c>
      <c r="E87" s="15">
        <v>1.08E-3</v>
      </c>
      <c r="F87" s="15">
        <f>+'Exh. JAP-39 (PV RD)'!G49</f>
        <v>1.15E-3</v>
      </c>
    </row>
    <row r="88" spans="1:6">
      <c r="A88" s="2">
        <f t="shared" si="5"/>
        <v>82</v>
      </c>
    </row>
    <row r="89" spans="1:6">
      <c r="A89" s="2">
        <f t="shared" si="5"/>
        <v>83</v>
      </c>
      <c r="B89" s="2">
        <v>43</v>
      </c>
      <c r="C89" s="12" t="s">
        <v>319</v>
      </c>
      <c r="D89" s="12"/>
    </row>
    <row r="90" spans="1:6">
      <c r="A90" s="2">
        <f t="shared" si="5"/>
        <v>84</v>
      </c>
      <c r="B90" s="2">
        <f>+$B$89</f>
        <v>43</v>
      </c>
      <c r="C90" s="7" t="s">
        <v>288</v>
      </c>
      <c r="D90" s="8">
        <f>+$D$8</f>
        <v>41043</v>
      </c>
      <c r="E90" s="9">
        <v>339.51</v>
      </c>
      <c r="F90" s="10">
        <f>+'Exh. JAP-39 (PV RD)'!G56</f>
        <v>360.3</v>
      </c>
    </row>
    <row r="91" spans="1:6">
      <c r="A91" s="2">
        <f t="shared" si="5"/>
        <v>85</v>
      </c>
      <c r="B91" s="2">
        <f t="shared" ref="B91:B98" si="8">+$B$89</f>
        <v>43</v>
      </c>
      <c r="C91" s="7"/>
      <c r="D91" s="7"/>
      <c r="E91" s="10"/>
      <c r="F91" s="10"/>
    </row>
    <row r="92" spans="1:6">
      <c r="A92" s="2">
        <f t="shared" si="5"/>
        <v>86</v>
      </c>
      <c r="B92" s="2">
        <f t="shared" si="8"/>
        <v>43</v>
      </c>
      <c r="C92" s="7" t="s">
        <v>315</v>
      </c>
      <c r="D92" s="8">
        <f>+D58</f>
        <v>41456</v>
      </c>
      <c r="E92" s="11">
        <v>5.5893999999999999E-2</v>
      </c>
      <c r="F92" s="11">
        <f>+'Exh. JAP-39 (PV RD)'!G58</f>
        <v>6.1085E-2</v>
      </c>
    </row>
    <row r="93" spans="1:6">
      <c r="A93" s="2">
        <f t="shared" si="5"/>
        <v>87</v>
      </c>
      <c r="B93" s="2">
        <f t="shared" si="8"/>
        <v>43</v>
      </c>
      <c r="C93" s="14"/>
      <c r="D93" s="14"/>
    </row>
    <row r="94" spans="1:6">
      <c r="A94" s="2">
        <f t="shared" si="5"/>
        <v>88</v>
      </c>
      <c r="B94" s="2">
        <f t="shared" si="8"/>
        <v>43</v>
      </c>
      <c r="C94" s="7" t="s">
        <v>320</v>
      </c>
      <c r="D94" s="8">
        <f>+$D$8</f>
        <v>41043</v>
      </c>
      <c r="E94" s="9">
        <v>4.75</v>
      </c>
      <c r="F94" s="9">
        <f>+'Exh. JAP-39 (PV RD)'!G64</f>
        <v>5.04</v>
      </c>
    </row>
    <row r="95" spans="1:6">
      <c r="A95" s="2">
        <f t="shared" si="5"/>
        <v>89</v>
      </c>
      <c r="B95" s="2">
        <f t="shared" si="8"/>
        <v>43</v>
      </c>
      <c r="C95" s="7"/>
      <c r="D95" s="7"/>
      <c r="E95" s="9"/>
      <c r="F95" s="9"/>
    </row>
    <row r="96" spans="1:6">
      <c r="A96" s="2">
        <f t="shared" si="5"/>
        <v>90</v>
      </c>
      <c r="B96" s="2">
        <f t="shared" si="8"/>
        <v>43</v>
      </c>
      <c r="C96" s="7" t="s">
        <v>321</v>
      </c>
      <c r="D96" s="8">
        <f>+$D$8</f>
        <v>41043</v>
      </c>
      <c r="E96" s="9">
        <v>3.89</v>
      </c>
      <c r="F96" s="9">
        <f>+'Exh. JAP-39 (PV RD)'!G67</f>
        <v>6.97</v>
      </c>
    </row>
    <row r="97" spans="1:6">
      <c r="A97" s="2">
        <f t="shared" si="5"/>
        <v>91</v>
      </c>
      <c r="B97" s="2">
        <f t="shared" si="8"/>
        <v>43</v>
      </c>
      <c r="F97" s="10"/>
    </row>
    <row r="98" spans="1:6">
      <c r="A98" s="2">
        <f t="shared" si="5"/>
        <v>92</v>
      </c>
      <c r="B98" s="2">
        <f t="shared" si="8"/>
        <v>43</v>
      </c>
      <c r="C98" s="7" t="s">
        <v>295</v>
      </c>
      <c r="D98" s="8">
        <f>+$D$8</f>
        <v>41043</v>
      </c>
      <c r="E98" s="15">
        <v>3.0000000000000001E-3</v>
      </c>
      <c r="F98" s="15">
        <f>+'Exh. JAP-39 (PV RD)'!G69</f>
        <v>3.1800000000000001E-3</v>
      </c>
    </row>
    <row r="99" spans="1:6">
      <c r="A99" s="2">
        <f t="shared" si="5"/>
        <v>93</v>
      </c>
    </row>
    <row r="100" spans="1:6">
      <c r="A100" s="2">
        <f t="shared" si="5"/>
        <v>94</v>
      </c>
      <c r="B100" s="18"/>
      <c r="C100" s="18"/>
      <c r="D100" s="18"/>
      <c r="E100" s="18"/>
      <c r="F100" s="18"/>
    </row>
    <row r="101" spans="1:6">
      <c r="A101" s="2">
        <f t="shared" si="5"/>
        <v>95</v>
      </c>
      <c r="B101" s="19">
        <v>40</v>
      </c>
      <c r="C101" s="20" t="s">
        <v>322</v>
      </c>
      <c r="D101" s="21"/>
      <c r="E101" s="18"/>
      <c r="F101" s="18"/>
    </row>
    <row r="102" spans="1:6">
      <c r="A102" s="2">
        <f t="shared" si="5"/>
        <v>96</v>
      </c>
      <c r="B102" s="19">
        <f>+$B$101</f>
        <v>40</v>
      </c>
      <c r="C102" s="22" t="s">
        <v>288</v>
      </c>
      <c r="D102" s="23"/>
      <c r="E102" s="24"/>
      <c r="F102" s="25"/>
    </row>
    <row r="103" spans="1:6">
      <c r="A103" s="2">
        <f t="shared" si="5"/>
        <v>97</v>
      </c>
      <c r="B103" s="19">
        <f t="shared" ref="B103:B151" si="9">+$B$101</f>
        <v>40</v>
      </c>
      <c r="C103" s="26" t="s">
        <v>323</v>
      </c>
      <c r="D103" s="8">
        <f>+D22</f>
        <v>41043</v>
      </c>
      <c r="E103" s="24">
        <v>51.67</v>
      </c>
      <c r="F103" s="25">
        <f>+'Exh. JAP-39 (CAMP RD)'!H15</f>
        <v>54.83</v>
      </c>
    </row>
    <row r="104" spans="1:6">
      <c r="A104" s="2">
        <f t="shared" si="5"/>
        <v>98</v>
      </c>
      <c r="B104" s="19">
        <f t="shared" si="9"/>
        <v>40</v>
      </c>
      <c r="C104" s="27" t="s">
        <v>324</v>
      </c>
      <c r="D104" s="8">
        <f>+D35</f>
        <v>41043</v>
      </c>
      <c r="E104" s="24">
        <v>104.46</v>
      </c>
      <c r="F104" s="25">
        <f>+'Exh. JAP-39 (CAMP RD)'!H16</f>
        <v>110.86</v>
      </c>
    </row>
    <row r="105" spans="1:6">
      <c r="A105" s="2">
        <f t="shared" si="5"/>
        <v>99</v>
      </c>
      <c r="B105" s="19">
        <f t="shared" si="9"/>
        <v>40</v>
      </c>
      <c r="C105" s="26" t="s">
        <v>155</v>
      </c>
      <c r="D105" s="8">
        <f>+D70</f>
        <v>41043</v>
      </c>
      <c r="E105" s="24">
        <v>339.51</v>
      </c>
      <c r="F105" s="25">
        <f>+'Exh. JAP-39 (CAMP RD)'!H17</f>
        <v>360.3</v>
      </c>
    </row>
    <row r="106" spans="1:6">
      <c r="A106" s="2">
        <f t="shared" si="5"/>
        <v>100</v>
      </c>
      <c r="B106" s="19">
        <f t="shared" si="9"/>
        <v>40</v>
      </c>
      <c r="C106" s="22"/>
      <c r="D106" s="23"/>
      <c r="E106" s="25"/>
      <c r="F106" s="25"/>
    </row>
    <row r="107" spans="1:6">
      <c r="A107" s="2">
        <f t="shared" si="5"/>
        <v>101</v>
      </c>
      <c r="B107" s="19">
        <f t="shared" si="9"/>
        <v>40</v>
      </c>
      <c r="C107" s="22" t="s">
        <v>325</v>
      </c>
      <c r="D107" s="23"/>
      <c r="E107" s="28"/>
      <c r="F107" s="28"/>
    </row>
    <row r="108" spans="1:6">
      <c r="A108" s="2">
        <f t="shared" si="5"/>
        <v>102</v>
      </c>
      <c r="B108" s="19">
        <f t="shared" si="9"/>
        <v>40</v>
      </c>
      <c r="C108" s="26" t="s">
        <v>323</v>
      </c>
      <c r="D108" s="8">
        <f>+D92</f>
        <v>41456</v>
      </c>
      <c r="E108" s="28">
        <v>5.6638000000000001E-2</v>
      </c>
      <c r="F108" s="28">
        <f>+'Exh. JAP-39 (CAMP RD)'!H21</f>
        <v>6.1274000000000002E-2</v>
      </c>
    </row>
    <row r="109" spans="1:6">
      <c r="A109" s="2">
        <f t="shared" si="5"/>
        <v>103</v>
      </c>
      <c r="B109" s="19">
        <f t="shared" si="9"/>
        <v>40</v>
      </c>
      <c r="C109" s="27" t="s">
        <v>324</v>
      </c>
      <c r="D109" s="8">
        <f>+D108</f>
        <v>41456</v>
      </c>
      <c r="E109" s="28">
        <f>+E108</f>
        <v>5.6638000000000001E-2</v>
      </c>
      <c r="F109" s="28">
        <f>+F108</f>
        <v>6.1274000000000002E-2</v>
      </c>
    </row>
    <row r="110" spans="1:6">
      <c r="A110" s="2">
        <f t="shared" si="5"/>
        <v>104</v>
      </c>
      <c r="B110" s="19">
        <f t="shared" si="9"/>
        <v>40</v>
      </c>
      <c r="C110" s="26" t="s">
        <v>155</v>
      </c>
      <c r="D110" s="8">
        <f>+D109</f>
        <v>41456</v>
      </c>
      <c r="E110" s="28">
        <v>5.5190999999999997E-2</v>
      </c>
      <c r="F110" s="28">
        <f>+'Exh. JAP-39 (CAMP RD)'!H22</f>
        <v>5.8862999999999999E-2</v>
      </c>
    </row>
    <row r="111" spans="1:6">
      <c r="A111" s="2">
        <f t="shared" si="5"/>
        <v>105</v>
      </c>
      <c r="B111" s="19">
        <f t="shared" si="9"/>
        <v>40</v>
      </c>
      <c r="C111" s="26" t="s">
        <v>326</v>
      </c>
      <c r="D111" s="8">
        <f>+D110</f>
        <v>41456</v>
      </c>
      <c r="E111" s="28">
        <f>+E162</f>
        <v>5.4413000000000003E-2</v>
      </c>
      <c r="F111" s="28">
        <f>+'Exh. JAP-39 (CAMP RD)'!G59</f>
        <v>5.7736000000000003E-2</v>
      </c>
    </row>
    <row r="112" spans="1:6">
      <c r="A112" s="2">
        <f t="shared" si="5"/>
        <v>106</v>
      </c>
      <c r="B112" s="19">
        <f t="shared" si="9"/>
        <v>40</v>
      </c>
      <c r="C112" s="26"/>
      <c r="D112" s="23"/>
      <c r="E112" s="18"/>
      <c r="F112" s="18"/>
    </row>
    <row r="113" spans="1:6">
      <c r="A113" s="2">
        <f t="shared" si="5"/>
        <v>107</v>
      </c>
      <c r="B113" s="19">
        <f t="shared" si="9"/>
        <v>40</v>
      </c>
      <c r="C113" s="22" t="s">
        <v>360</v>
      </c>
      <c r="D113" s="23"/>
      <c r="E113" s="24"/>
      <c r="F113" s="24"/>
    </row>
    <row r="114" spans="1:6">
      <c r="A114" s="2">
        <f t="shared" si="5"/>
        <v>108</v>
      </c>
      <c r="B114" s="19">
        <f t="shared" si="9"/>
        <v>40</v>
      </c>
      <c r="C114" s="27" t="s">
        <v>159</v>
      </c>
      <c r="D114" s="8">
        <f>+$D$8</f>
        <v>41043</v>
      </c>
      <c r="E114" s="28">
        <v>4.2</v>
      </c>
      <c r="F114" s="24">
        <f>+'Exh. JAP-39 (CAMP RD)'!H30</f>
        <v>4.3899999999999997</v>
      </c>
    </row>
    <row r="115" spans="1:6">
      <c r="A115" s="2">
        <f t="shared" si="5"/>
        <v>109</v>
      </c>
      <c r="B115" s="19">
        <f t="shared" si="9"/>
        <v>40</v>
      </c>
      <c r="C115" s="26" t="s">
        <v>155</v>
      </c>
      <c r="D115" s="8">
        <f>+$D$8</f>
        <v>41043</v>
      </c>
      <c r="E115" s="28">
        <v>4.1100000000000003</v>
      </c>
      <c r="F115" s="24">
        <f>+'Exh. JAP-39 (CAMP RD)'!H31</f>
        <v>4.22</v>
      </c>
    </row>
    <row r="116" spans="1:6">
      <c r="A116" s="2">
        <f t="shared" si="5"/>
        <v>110</v>
      </c>
      <c r="B116" s="19">
        <f t="shared" si="9"/>
        <v>40</v>
      </c>
      <c r="C116" s="26" t="s">
        <v>326</v>
      </c>
      <c r="D116" s="8">
        <f>+$D$8</f>
        <v>41043</v>
      </c>
      <c r="E116" s="28">
        <v>4.0199999999999996</v>
      </c>
      <c r="F116" s="24">
        <f>+'Exh. JAP-39 (CAMP RD)'!G55</f>
        <v>4.1399999999999997</v>
      </c>
    </row>
    <row r="117" spans="1:6">
      <c r="A117" s="2">
        <f t="shared" si="5"/>
        <v>111</v>
      </c>
      <c r="B117" s="19">
        <f t="shared" si="9"/>
        <v>40</v>
      </c>
      <c r="C117" s="22"/>
      <c r="D117" s="23"/>
      <c r="E117" s="24"/>
      <c r="F117" s="24"/>
    </row>
    <row r="118" spans="1:6">
      <c r="A118" s="2">
        <f t="shared" si="5"/>
        <v>112</v>
      </c>
      <c r="B118" s="19">
        <f t="shared" si="9"/>
        <v>40</v>
      </c>
      <c r="C118" s="22" t="s">
        <v>295</v>
      </c>
      <c r="D118" s="23"/>
      <c r="E118" s="29"/>
      <c r="F118" s="29"/>
    </row>
    <row r="119" spans="1:6">
      <c r="A119" s="2">
        <f t="shared" si="5"/>
        <v>113</v>
      </c>
      <c r="B119" s="19">
        <f t="shared" si="9"/>
        <v>40</v>
      </c>
      <c r="C119" s="27" t="s">
        <v>159</v>
      </c>
      <c r="D119" s="8">
        <f>+$D$8</f>
        <v>41043</v>
      </c>
      <c r="E119" s="29">
        <v>1.24E-3</v>
      </c>
      <c r="F119" s="29">
        <f>+'Exh. JAP-39 (CAMP RD)'!H35</f>
        <v>1.32E-3</v>
      </c>
    </row>
    <row r="120" spans="1:6">
      <c r="A120" s="2">
        <f t="shared" si="5"/>
        <v>114</v>
      </c>
      <c r="B120" s="19">
        <f t="shared" si="9"/>
        <v>40</v>
      </c>
      <c r="C120" s="26" t="s">
        <v>155</v>
      </c>
      <c r="D120" s="8">
        <f>+$D$8</f>
        <v>41043</v>
      </c>
      <c r="E120" s="29">
        <v>1.08E-3</v>
      </c>
      <c r="F120" s="29">
        <f>+'Exh. JAP-39 (CAMP RD)'!H36</f>
        <v>1.1199999999999999E-3</v>
      </c>
    </row>
    <row r="121" spans="1:6">
      <c r="A121" s="2">
        <f t="shared" si="5"/>
        <v>115</v>
      </c>
      <c r="B121" s="19">
        <f t="shared" si="9"/>
        <v>40</v>
      </c>
      <c r="C121" s="26"/>
      <c r="D121" s="23"/>
      <c r="E121" s="29"/>
      <c r="F121" s="29"/>
    </row>
    <row r="122" spans="1:6">
      <c r="A122" s="2">
        <f t="shared" si="5"/>
        <v>116</v>
      </c>
      <c r="B122" s="19">
        <f t="shared" si="9"/>
        <v>40</v>
      </c>
      <c r="C122" s="26" t="s">
        <v>327</v>
      </c>
      <c r="D122" s="23"/>
      <c r="E122" s="30">
        <v>3.8081999999999998E-2</v>
      </c>
      <c r="F122" s="30">
        <v>6.021E-2</v>
      </c>
    </row>
    <row r="123" spans="1:6">
      <c r="A123" s="2">
        <f t="shared" si="5"/>
        <v>117</v>
      </c>
      <c r="B123" s="19">
        <f t="shared" si="9"/>
        <v>40</v>
      </c>
      <c r="C123" s="27" t="s">
        <v>328</v>
      </c>
      <c r="D123" s="23"/>
      <c r="E123" s="31">
        <v>0.37</v>
      </c>
      <c r="F123" s="32">
        <v>0.44</v>
      </c>
    </row>
    <row r="124" spans="1:6">
      <c r="A124" s="2">
        <f t="shared" si="5"/>
        <v>118</v>
      </c>
      <c r="B124" s="19">
        <f t="shared" si="9"/>
        <v>40</v>
      </c>
      <c r="C124" s="26" t="s">
        <v>329</v>
      </c>
      <c r="D124" s="23"/>
      <c r="E124" s="30">
        <v>1.409E-2</v>
      </c>
      <c r="F124" s="30">
        <f>ROUND(F123*F122,6)</f>
        <v>2.6492000000000002E-2</v>
      </c>
    </row>
    <row r="125" spans="1:6">
      <c r="A125" s="2">
        <f t="shared" si="5"/>
        <v>119</v>
      </c>
      <c r="B125" s="19">
        <f t="shared" si="9"/>
        <v>40</v>
      </c>
      <c r="C125" s="27" t="s">
        <v>330</v>
      </c>
      <c r="D125" s="23"/>
      <c r="E125" s="33">
        <v>3.95E-2</v>
      </c>
      <c r="F125" s="33">
        <v>0.2296</v>
      </c>
    </row>
    <row r="126" spans="1:6">
      <c r="A126" s="2">
        <f t="shared" si="5"/>
        <v>120</v>
      </c>
      <c r="B126" s="19">
        <f t="shared" si="9"/>
        <v>40</v>
      </c>
      <c r="C126" s="27" t="s">
        <v>331</v>
      </c>
      <c r="D126" s="23"/>
      <c r="E126" s="33">
        <v>3.95E-2</v>
      </c>
      <c r="F126" s="33">
        <v>4.9799999999999997E-2</v>
      </c>
    </row>
    <row r="127" spans="1:6">
      <c r="A127" s="2">
        <f t="shared" si="5"/>
        <v>121</v>
      </c>
      <c r="B127" s="19">
        <f t="shared" si="9"/>
        <v>40</v>
      </c>
      <c r="C127" s="26"/>
      <c r="D127" s="23"/>
      <c r="E127" s="33"/>
      <c r="F127" s="33"/>
    </row>
    <row r="128" spans="1:6">
      <c r="A128" s="2">
        <f t="shared" si="5"/>
        <v>122</v>
      </c>
      <c r="B128" s="19">
        <f t="shared" si="9"/>
        <v>40</v>
      </c>
      <c r="C128" s="27" t="s">
        <v>332</v>
      </c>
      <c r="D128" s="23"/>
      <c r="E128" s="30">
        <v>0.115396</v>
      </c>
      <c r="F128" s="30">
        <v>0.10681913608122562</v>
      </c>
    </row>
    <row r="129" spans="1:13">
      <c r="A129" s="2">
        <f t="shared" si="5"/>
        <v>123</v>
      </c>
      <c r="B129" s="19">
        <f t="shared" si="9"/>
        <v>40</v>
      </c>
      <c r="C129" s="27"/>
      <c r="D129" s="23"/>
      <c r="E129" s="30"/>
      <c r="F129" s="30"/>
    </row>
    <row r="130" spans="1:13">
      <c r="A130" s="2">
        <f t="shared" si="5"/>
        <v>124</v>
      </c>
      <c r="B130" s="19">
        <f t="shared" si="9"/>
        <v>40</v>
      </c>
      <c r="C130" s="34" t="s">
        <v>333</v>
      </c>
      <c r="D130" s="23"/>
      <c r="F130" s="30"/>
    </row>
    <row r="131" spans="1:13">
      <c r="A131" s="2">
        <f t="shared" si="5"/>
        <v>125</v>
      </c>
      <c r="B131" s="19">
        <f t="shared" si="9"/>
        <v>40</v>
      </c>
      <c r="C131" s="27" t="s">
        <v>334</v>
      </c>
      <c r="D131" s="8">
        <f>+$D$8</f>
        <v>41043</v>
      </c>
      <c r="E131" s="28">
        <v>1.6376999999999999E-2</v>
      </c>
      <c r="F131" s="28">
        <v>1.1911E-2</v>
      </c>
    </row>
    <row r="132" spans="1:13">
      <c r="A132" s="2">
        <f t="shared" si="5"/>
        <v>126</v>
      </c>
      <c r="B132" s="19">
        <f t="shared" si="9"/>
        <v>40</v>
      </c>
      <c r="C132" s="27" t="s">
        <v>335</v>
      </c>
      <c r="D132" s="8">
        <f>+$D$8</f>
        <v>41043</v>
      </c>
      <c r="E132" s="28">
        <v>1.1511E-2</v>
      </c>
      <c r="F132" s="28">
        <v>1.0038E-2</v>
      </c>
    </row>
    <row r="133" spans="1:13">
      <c r="A133" s="2">
        <f t="shared" si="5"/>
        <v>127</v>
      </c>
      <c r="B133" s="19">
        <f t="shared" si="9"/>
        <v>40</v>
      </c>
      <c r="C133" s="27" t="s">
        <v>336</v>
      </c>
      <c r="D133" s="8">
        <f>+$D$8</f>
        <v>41043</v>
      </c>
      <c r="E133" s="28">
        <v>1.6131E-2</v>
      </c>
      <c r="F133" s="28">
        <v>1.5143999999999999E-2</v>
      </c>
      <c r="H133" s="18"/>
      <c r="I133" s="18"/>
      <c r="J133" s="18"/>
    </row>
    <row r="134" spans="1:13" ht="13.5" thickBot="1">
      <c r="A134" s="2">
        <f t="shared" ref="A134:A137" si="10">+A133+1</f>
        <v>128</v>
      </c>
      <c r="B134" s="19">
        <f t="shared" si="9"/>
        <v>40</v>
      </c>
      <c r="C134" s="22"/>
      <c r="D134" s="23"/>
      <c r="E134" s="29"/>
      <c r="F134" s="29"/>
      <c r="H134" s="35"/>
      <c r="I134" s="35"/>
      <c r="J134" s="35"/>
    </row>
    <row r="135" spans="1:13" ht="13.5" thickBot="1">
      <c r="A135" s="2">
        <f t="shared" si="10"/>
        <v>129</v>
      </c>
      <c r="B135" s="19">
        <f t="shared" si="9"/>
        <v>40</v>
      </c>
      <c r="C135" s="22"/>
      <c r="D135" s="23"/>
      <c r="E135" s="29"/>
      <c r="F135" s="29"/>
      <c r="H135" s="280" t="s">
        <v>273</v>
      </c>
      <c r="I135" s="281"/>
      <c r="J135" s="282"/>
    </row>
    <row r="136" spans="1:13" ht="39" thickBot="1">
      <c r="A136" s="2">
        <f t="shared" si="10"/>
        <v>130</v>
      </c>
      <c r="B136" s="19">
        <f t="shared" si="9"/>
        <v>40</v>
      </c>
      <c r="C136" s="22"/>
      <c r="D136" s="23"/>
      <c r="E136" s="29"/>
      <c r="F136" s="29"/>
      <c r="H136" s="36" t="s">
        <v>277</v>
      </c>
      <c r="I136" s="37" t="s">
        <v>278</v>
      </c>
      <c r="J136" s="38" t="s">
        <v>279</v>
      </c>
    </row>
    <row r="137" spans="1:13" s="39" customFormat="1">
      <c r="A137" s="2">
        <f t="shared" si="10"/>
        <v>131</v>
      </c>
      <c r="B137" s="19">
        <f t="shared" si="9"/>
        <v>40</v>
      </c>
      <c r="C137" s="283" t="s">
        <v>359</v>
      </c>
      <c r="D137" s="283"/>
      <c r="E137" s="283"/>
      <c r="F137" s="283"/>
      <c r="G137" s="283"/>
      <c r="H137" s="283"/>
      <c r="I137" s="283"/>
      <c r="J137" s="283"/>
    </row>
    <row r="138" spans="1:13">
      <c r="A138" s="2">
        <f t="shared" ref="A138:A180" si="11">+A137+1</f>
        <v>132</v>
      </c>
      <c r="B138" s="19">
        <f t="shared" si="9"/>
        <v>40</v>
      </c>
      <c r="C138" s="22" t="s">
        <v>373</v>
      </c>
      <c r="D138" s="23">
        <f t="shared" ref="D138:D151" si="12">+$D$8</f>
        <v>41043</v>
      </c>
      <c r="E138" s="25">
        <v>1.68</v>
      </c>
      <c r="F138" s="25">
        <f>+'Exh. JAP-39 (CAMP RD)'!H66</f>
        <v>4.4700000000000006</v>
      </c>
      <c r="G138" s="18"/>
      <c r="H138" s="25">
        <f>+'Exh. JAP-39 (CAMP RD)'!C66</f>
        <v>3.66</v>
      </c>
      <c r="I138" s="25">
        <f>+'Exh. JAP-39 (CAMP RD)'!D66</f>
        <v>3.74</v>
      </c>
      <c r="J138" s="25">
        <f>+'Exh. JAP-39 (CAMP RD)'!E66</f>
        <v>3.98</v>
      </c>
      <c r="L138" s="10"/>
      <c r="M138" s="10"/>
    </row>
    <row r="139" spans="1:13">
      <c r="A139" s="2">
        <f t="shared" si="11"/>
        <v>133</v>
      </c>
      <c r="B139" s="19">
        <f t="shared" si="9"/>
        <v>40</v>
      </c>
      <c r="C139" s="22" t="s">
        <v>374</v>
      </c>
      <c r="D139" s="23">
        <f t="shared" si="12"/>
        <v>41043</v>
      </c>
      <c r="E139" s="25">
        <v>5.74</v>
      </c>
      <c r="F139" s="25">
        <f>+'Exh. JAP-39 (CAMP RD)'!H67</f>
        <v>7.43</v>
      </c>
      <c r="G139" s="18"/>
      <c r="H139" s="25">
        <f>+'Exh. JAP-39 (CAMP RD)'!C67</f>
        <v>3.69</v>
      </c>
      <c r="I139" s="25">
        <f>+'Exh. JAP-39 (CAMP RD)'!D67</f>
        <v>3.77</v>
      </c>
      <c r="J139" s="25">
        <f>+'Exh. JAP-39 (CAMP RD)'!E67</f>
        <v>6.68</v>
      </c>
      <c r="L139" s="10"/>
      <c r="M139" s="10"/>
    </row>
    <row r="140" spans="1:13">
      <c r="A140" s="2">
        <f t="shared" si="11"/>
        <v>134</v>
      </c>
      <c r="B140" s="19">
        <f t="shared" si="9"/>
        <v>40</v>
      </c>
      <c r="C140" s="22" t="s">
        <v>375</v>
      </c>
      <c r="D140" s="23">
        <f t="shared" si="12"/>
        <v>41043</v>
      </c>
      <c r="E140" s="25">
        <v>1.7999999999999998</v>
      </c>
      <c r="F140" s="25">
        <f>+'Exh. JAP-39 (CAMP RD)'!H68</f>
        <v>1.5</v>
      </c>
      <c r="G140" s="18"/>
      <c r="H140" s="25">
        <f>+'Exh. JAP-39 (CAMP RD)'!C68</f>
        <v>4.1100000000000003</v>
      </c>
      <c r="I140" s="25">
        <f>+'Exh. JAP-39 (CAMP RD)'!D68</f>
        <v>4.2</v>
      </c>
      <c r="J140" s="25">
        <f>+'Exh. JAP-39 (CAMP RD)'!E68</f>
        <v>1.5</v>
      </c>
      <c r="L140" s="10"/>
      <c r="M140" s="10"/>
    </row>
    <row r="141" spans="1:13">
      <c r="A141" s="2">
        <f t="shared" si="11"/>
        <v>135</v>
      </c>
      <c r="B141" s="19">
        <f t="shared" si="9"/>
        <v>40</v>
      </c>
      <c r="C141" s="22" t="s">
        <v>376</v>
      </c>
      <c r="D141" s="23">
        <f t="shared" si="12"/>
        <v>41043</v>
      </c>
      <c r="E141" s="25">
        <v>0.83000000000000007</v>
      </c>
      <c r="F141" s="25">
        <f>+'Exh. JAP-39 (CAMP RD)'!H69</f>
        <v>0.57999999999999996</v>
      </c>
      <c r="G141" s="18"/>
      <c r="H141" s="25">
        <f>+'Exh. JAP-39 (CAMP RD)'!C69</f>
        <v>4.1100000000000003</v>
      </c>
      <c r="I141" s="25">
        <f>+'Exh. JAP-39 (CAMP RD)'!D69</f>
        <v>4.2</v>
      </c>
      <c r="J141" s="25">
        <f>+'Exh. JAP-39 (CAMP RD)'!E69</f>
        <v>0.57999999999999996</v>
      </c>
      <c r="L141" s="10"/>
      <c r="M141" s="10"/>
    </row>
    <row r="142" spans="1:13">
      <c r="A142" s="2">
        <f t="shared" si="11"/>
        <v>136</v>
      </c>
      <c r="B142" s="19">
        <f t="shared" si="9"/>
        <v>40</v>
      </c>
      <c r="C142" s="22" t="s">
        <v>377</v>
      </c>
      <c r="D142" s="23">
        <f t="shared" si="12"/>
        <v>41043</v>
      </c>
      <c r="E142" s="25">
        <v>4.3900000000000006</v>
      </c>
      <c r="F142" s="25">
        <f>+'Exh. JAP-39 (CAMP RD)'!H70</f>
        <v>2.81</v>
      </c>
      <c r="G142" s="18"/>
      <c r="H142" s="25">
        <f>+'Exh. JAP-39 (CAMP RD)'!C70</f>
        <v>4.0599999999999996</v>
      </c>
      <c r="I142" s="25">
        <f>+'Exh. JAP-39 (CAMP RD)'!D70</f>
        <v>4.1399999999999997</v>
      </c>
      <c r="J142" s="25">
        <f>+'Exh. JAP-39 (CAMP RD)'!E70</f>
        <v>2.77</v>
      </c>
      <c r="L142" s="10"/>
      <c r="M142" s="10"/>
    </row>
    <row r="143" spans="1:13">
      <c r="A143" s="2">
        <f t="shared" si="11"/>
        <v>137</v>
      </c>
      <c r="B143" s="19">
        <f t="shared" si="9"/>
        <v>40</v>
      </c>
      <c r="C143" s="22" t="s">
        <v>378</v>
      </c>
      <c r="D143" s="23">
        <f t="shared" si="12"/>
        <v>41043</v>
      </c>
      <c r="E143" s="25">
        <v>0.87000000000000011</v>
      </c>
      <c r="F143" s="25">
        <f>+'Exh. JAP-39 (CAMP RD)'!H71</f>
        <v>0.44</v>
      </c>
      <c r="G143" s="18"/>
      <c r="H143" s="25">
        <f>+'Exh. JAP-39 (CAMP RD)'!C71</f>
        <v>4.1100000000000003</v>
      </c>
      <c r="I143" s="25">
        <f>+'Exh. JAP-39 (CAMP RD)'!D71</f>
        <v>4.2</v>
      </c>
      <c r="J143" s="25">
        <f>+'Exh. JAP-39 (CAMP RD)'!E71</f>
        <v>0.44</v>
      </c>
      <c r="L143" s="10"/>
      <c r="M143" s="10"/>
    </row>
    <row r="144" spans="1:13">
      <c r="A144" s="2">
        <f t="shared" si="11"/>
        <v>138</v>
      </c>
      <c r="B144" s="19">
        <f t="shared" si="9"/>
        <v>40</v>
      </c>
      <c r="C144" s="22" t="s">
        <v>379</v>
      </c>
      <c r="D144" s="23">
        <f t="shared" si="12"/>
        <v>41043</v>
      </c>
      <c r="E144" s="25">
        <v>1.8599999999999999</v>
      </c>
      <c r="F144" s="25">
        <f>+'Exh. JAP-39 (CAMP RD)'!H72</f>
        <v>0</v>
      </c>
      <c r="G144" s="18"/>
      <c r="H144" s="25">
        <f>+'Exh. JAP-39 (CAMP RD)'!C72</f>
        <v>0</v>
      </c>
      <c r="I144" s="25">
        <f>+'Exh. JAP-39 (CAMP RD)'!D72</f>
        <v>0</v>
      </c>
      <c r="J144" s="25">
        <f>+'Exh. JAP-39 (CAMP RD)'!E72</f>
        <v>0</v>
      </c>
      <c r="L144" s="10"/>
      <c r="M144" s="10"/>
    </row>
    <row r="145" spans="1:13">
      <c r="A145" s="2">
        <f t="shared" si="11"/>
        <v>139</v>
      </c>
      <c r="B145" s="19">
        <f t="shared" si="9"/>
        <v>40</v>
      </c>
      <c r="C145" s="22" t="s">
        <v>380</v>
      </c>
      <c r="D145" s="23">
        <f t="shared" si="12"/>
        <v>41043</v>
      </c>
      <c r="E145" s="25">
        <v>1.83</v>
      </c>
      <c r="F145" s="25">
        <f>+'Exh. JAP-39 (CAMP RD)'!H73</f>
        <v>2.59</v>
      </c>
      <c r="G145" s="18"/>
      <c r="H145" s="25">
        <f>+'Exh. JAP-39 (CAMP RD)'!C73</f>
        <v>4.0999999999999996</v>
      </c>
      <c r="I145" s="25">
        <f>+'Exh. JAP-39 (CAMP RD)'!D73</f>
        <v>4.1900000000000004</v>
      </c>
      <c r="J145" s="25">
        <f>+'Exh. JAP-39 (CAMP RD)'!E73</f>
        <v>2.58</v>
      </c>
      <c r="L145" s="10"/>
      <c r="M145" s="10"/>
    </row>
    <row r="146" spans="1:13">
      <c r="A146" s="2">
        <f t="shared" si="11"/>
        <v>140</v>
      </c>
      <c r="B146" s="19">
        <f t="shared" si="9"/>
        <v>40</v>
      </c>
      <c r="C146" s="22" t="s">
        <v>381</v>
      </c>
      <c r="D146" s="23">
        <f t="shared" si="12"/>
        <v>41043</v>
      </c>
      <c r="E146" s="25">
        <v>5.8100000000000005</v>
      </c>
      <c r="F146" s="25">
        <f>+'Exh. JAP-39 (CAMP RD)'!H74</f>
        <v>5.85</v>
      </c>
      <c r="G146" s="18"/>
      <c r="H146" s="25">
        <f>+'Exh. JAP-39 (CAMP RD)'!C74</f>
        <v>3.77</v>
      </c>
      <c r="I146" s="25">
        <f>+'Exh. JAP-39 (CAMP RD)'!D74</f>
        <v>3.85</v>
      </c>
      <c r="J146" s="25">
        <f>+'Exh. JAP-39 (CAMP RD)'!E74</f>
        <v>5.36</v>
      </c>
      <c r="L146" s="10"/>
      <c r="M146" s="10"/>
    </row>
    <row r="147" spans="1:13">
      <c r="A147" s="2">
        <f t="shared" si="11"/>
        <v>141</v>
      </c>
      <c r="B147" s="19">
        <f t="shared" si="9"/>
        <v>40</v>
      </c>
      <c r="C147" s="22" t="s">
        <v>382</v>
      </c>
      <c r="D147" s="23">
        <f t="shared" si="12"/>
        <v>41043</v>
      </c>
      <c r="E147" s="25">
        <v>1.42</v>
      </c>
      <c r="F147" s="25">
        <f>+'Exh. JAP-39 (CAMP RD)'!H75</f>
        <v>1.59</v>
      </c>
      <c r="G147" s="18"/>
      <c r="H147" s="25">
        <f>+'Exh. JAP-39 (CAMP RD)'!C75</f>
        <v>3.94</v>
      </c>
      <c r="I147" s="25">
        <f>+'Exh. JAP-39 (CAMP RD)'!D75</f>
        <v>4.03</v>
      </c>
      <c r="J147" s="25">
        <f>+'Exh. JAP-39 (CAMP RD)'!E75</f>
        <v>1.52</v>
      </c>
      <c r="L147" s="10"/>
      <c r="M147" s="10"/>
    </row>
    <row r="148" spans="1:13">
      <c r="A148" s="2">
        <f t="shared" si="11"/>
        <v>142</v>
      </c>
      <c r="B148" s="19">
        <f t="shared" si="9"/>
        <v>40</v>
      </c>
      <c r="C148" s="22" t="s">
        <v>383</v>
      </c>
      <c r="D148" s="23">
        <f t="shared" si="12"/>
        <v>41043</v>
      </c>
      <c r="E148" s="25">
        <v>2.27</v>
      </c>
      <c r="F148" s="25">
        <f>+'Exh. JAP-39 (CAMP RD)'!H76</f>
        <v>2.02</v>
      </c>
      <c r="G148" s="18"/>
      <c r="H148" s="25">
        <f>+'Exh. JAP-39 (CAMP RD)'!C76</f>
        <v>3.9</v>
      </c>
      <c r="I148" s="25">
        <f>+'Exh. JAP-39 (CAMP RD)'!D76</f>
        <v>3.99</v>
      </c>
      <c r="J148" s="25">
        <f>+'Exh. JAP-39 (CAMP RD)'!E76</f>
        <v>1.92</v>
      </c>
      <c r="L148" s="10"/>
      <c r="M148" s="10"/>
    </row>
    <row r="149" spans="1:13">
      <c r="A149" s="2">
        <f t="shared" si="11"/>
        <v>143</v>
      </c>
      <c r="B149" s="19">
        <f t="shared" si="9"/>
        <v>40</v>
      </c>
      <c r="C149" s="22" t="s">
        <v>384</v>
      </c>
      <c r="D149" s="23">
        <f t="shared" si="12"/>
        <v>41043</v>
      </c>
      <c r="E149" s="25">
        <v>0.63</v>
      </c>
      <c r="F149" s="25">
        <f>+'Exh. JAP-39 (CAMP RD)'!H77</f>
        <v>0.81</v>
      </c>
      <c r="G149" s="18"/>
      <c r="H149" s="25">
        <f>+'Exh. JAP-39 (CAMP RD)'!C77</f>
        <v>4</v>
      </c>
      <c r="I149" s="25">
        <f>+'Exh. JAP-39 (CAMP RD)'!D77</f>
        <v>4.09</v>
      </c>
      <c r="J149" s="25">
        <f>+'Exh. JAP-39 (CAMP RD)'!E77</f>
        <v>0.79</v>
      </c>
      <c r="L149" s="10"/>
      <c r="M149" s="10"/>
    </row>
    <row r="150" spans="1:13">
      <c r="A150" s="2">
        <f t="shared" si="11"/>
        <v>144</v>
      </c>
      <c r="B150" s="19">
        <f t="shared" si="9"/>
        <v>40</v>
      </c>
      <c r="C150" s="22" t="s">
        <v>385</v>
      </c>
      <c r="D150" s="23">
        <f t="shared" si="12"/>
        <v>41043</v>
      </c>
      <c r="E150" s="25">
        <v>0</v>
      </c>
      <c r="F150" s="25">
        <f>+'Exh. JAP-39 (CAMP RD)'!H78</f>
        <v>0.71</v>
      </c>
      <c r="G150" s="18"/>
      <c r="H150" s="25">
        <f>+'Exh. JAP-39 (CAMP RD)'!C78</f>
        <v>3.88</v>
      </c>
      <c r="I150" s="25">
        <f>+'Exh. JAP-39 (CAMP RD)'!D78</f>
        <v>3.96</v>
      </c>
      <c r="J150" s="25">
        <f>+'Exh. JAP-39 (CAMP RD)'!E78</f>
        <v>0.67</v>
      </c>
      <c r="L150" s="10"/>
      <c r="M150" s="10"/>
    </row>
    <row r="151" spans="1:13">
      <c r="A151" s="2">
        <f t="shared" si="11"/>
        <v>145</v>
      </c>
      <c r="B151" s="19">
        <f t="shared" si="9"/>
        <v>40</v>
      </c>
      <c r="C151" s="22" t="s">
        <v>386</v>
      </c>
      <c r="D151" s="23">
        <f t="shared" si="12"/>
        <v>41043</v>
      </c>
      <c r="E151" s="25">
        <v>0</v>
      </c>
      <c r="F151" s="25">
        <f>+'Exh. JAP-39 (CAMP RD)'!H79</f>
        <v>4.49</v>
      </c>
      <c r="G151" s="18"/>
      <c r="H151" s="25">
        <f>+'Exh. JAP-39 (CAMP RD)'!C79</f>
        <v>4.04</v>
      </c>
      <c r="I151" s="25">
        <f>+'Exh. JAP-39 (CAMP RD)'!D79</f>
        <v>4.12</v>
      </c>
      <c r="J151" s="25">
        <f>+'Exh. JAP-39 (CAMP RD)'!E79</f>
        <v>4.41</v>
      </c>
      <c r="L151" s="10"/>
      <c r="M151" s="10"/>
    </row>
    <row r="152" spans="1:13">
      <c r="A152" s="2">
        <f t="shared" si="11"/>
        <v>146</v>
      </c>
    </row>
    <row r="153" spans="1:13">
      <c r="A153" s="2">
        <f t="shared" si="11"/>
        <v>147</v>
      </c>
      <c r="B153" s="2">
        <v>46</v>
      </c>
      <c r="C153" s="12" t="s">
        <v>337</v>
      </c>
      <c r="D153" s="12"/>
    </row>
    <row r="154" spans="1:13">
      <c r="A154" s="2">
        <f t="shared" si="11"/>
        <v>148</v>
      </c>
      <c r="B154" s="2">
        <f t="shared" ref="B154:B159" si="13">+$B$153</f>
        <v>46</v>
      </c>
      <c r="C154" s="7" t="s">
        <v>315</v>
      </c>
      <c r="D154" s="8">
        <f>+D108</f>
        <v>41456</v>
      </c>
      <c r="E154" s="11">
        <v>5.4413000000000003E-2</v>
      </c>
      <c r="F154" s="11">
        <f>+'Exh. JAP-39 (HV RD)'!G16</f>
        <v>5.7735999999999996E-2</v>
      </c>
    </row>
    <row r="155" spans="1:13">
      <c r="A155" s="2">
        <f t="shared" si="11"/>
        <v>149</v>
      </c>
      <c r="B155" s="2">
        <f t="shared" si="13"/>
        <v>46</v>
      </c>
      <c r="C155" s="14"/>
      <c r="D155" s="14"/>
    </row>
    <row r="156" spans="1:13">
      <c r="A156" s="2">
        <f t="shared" si="11"/>
        <v>150</v>
      </c>
      <c r="B156" s="2">
        <f t="shared" si="13"/>
        <v>46</v>
      </c>
      <c r="C156" s="7" t="s">
        <v>338</v>
      </c>
      <c r="D156" s="8">
        <f>+$D$8</f>
        <v>41043</v>
      </c>
      <c r="E156" s="9">
        <v>2.09</v>
      </c>
      <c r="F156" s="9">
        <f>+'Exh. JAP-39 (HV RD)'!G21</f>
        <v>2.2200000000000002</v>
      </c>
    </row>
    <row r="157" spans="1:13">
      <c r="A157" s="2">
        <f t="shared" si="11"/>
        <v>151</v>
      </c>
      <c r="B157" s="2">
        <f t="shared" si="13"/>
        <v>46</v>
      </c>
      <c r="C157" s="7"/>
      <c r="D157" s="8"/>
      <c r="E157" s="9"/>
      <c r="F157" s="9"/>
    </row>
    <row r="158" spans="1:13">
      <c r="A158" s="2">
        <f t="shared" si="11"/>
        <v>152</v>
      </c>
      <c r="B158" s="2">
        <f t="shared" si="13"/>
        <v>46</v>
      </c>
      <c r="C158" s="17" t="s">
        <v>339</v>
      </c>
      <c r="D158" s="8">
        <f>+D156</f>
        <v>41043</v>
      </c>
      <c r="E158" s="9">
        <v>25.08</v>
      </c>
      <c r="F158" s="9">
        <f>+'Exh. JAP-39 (HV RD)'!G26</f>
        <v>26.64</v>
      </c>
    </row>
    <row r="159" spans="1:13">
      <c r="A159" s="2">
        <f t="shared" si="11"/>
        <v>153</v>
      </c>
      <c r="B159" s="2">
        <f t="shared" si="13"/>
        <v>46</v>
      </c>
      <c r="C159" s="7" t="s">
        <v>340</v>
      </c>
      <c r="D159" s="8">
        <f>+D154</f>
        <v>41456</v>
      </c>
      <c r="E159" s="11">
        <v>4.8972000000000002E-2</v>
      </c>
      <c r="F159" s="11">
        <f>+'Exh. JAP-39 (HV RD)'!G25</f>
        <v>5.1962000000000001E-2</v>
      </c>
    </row>
    <row r="160" spans="1:13">
      <c r="A160" s="2">
        <f t="shared" si="11"/>
        <v>154</v>
      </c>
    </row>
    <row r="161" spans="1:6">
      <c r="A161" s="2">
        <f t="shared" si="11"/>
        <v>155</v>
      </c>
      <c r="B161" s="2">
        <v>49</v>
      </c>
      <c r="C161" s="40" t="s">
        <v>341</v>
      </c>
      <c r="D161" s="40"/>
    </row>
    <row r="162" spans="1:6">
      <c r="A162" s="2">
        <f t="shared" si="11"/>
        <v>156</v>
      </c>
      <c r="B162" s="2">
        <f>+$B$161</f>
        <v>49</v>
      </c>
      <c r="C162" s="7" t="s">
        <v>315</v>
      </c>
      <c r="D162" s="8">
        <f>+D154</f>
        <v>41456</v>
      </c>
      <c r="E162" s="11">
        <v>5.4413000000000003E-2</v>
      </c>
      <c r="F162" s="11">
        <f>+'Exh. JAP-39 (HV RD)'!G32</f>
        <v>5.7735999999999996E-2</v>
      </c>
    </row>
    <row r="163" spans="1:6">
      <c r="A163" s="2">
        <f t="shared" si="11"/>
        <v>157</v>
      </c>
      <c r="B163" s="2">
        <f>+$B$161</f>
        <v>49</v>
      </c>
      <c r="C163" s="14"/>
      <c r="D163" s="14"/>
    </row>
    <row r="164" spans="1:6">
      <c r="A164" s="2">
        <f t="shared" si="11"/>
        <v>158</v>
      </c>
      <c r="B164" s="2">
        <f>+$B$161</f>
        <v>49</v>
      </c>
      <c r="C164" s="7" t="s">
        <v>342</v>
      </c>
      <c r="D164" s="8">
        <f>+$D$8</f>
        <v>41043</v>
      </c>
      <c r="E164" s="9">
        <v>3.7</v>
      </c>
      <c r="F164" s="9">
        <f>+'Exh. JAP-39 (HV RD)'!G37</f>
        <v>3.93</v>
      </c>
    </row>
    <row r="165" spans="1:6">
      <c r="A165" s="2">
        <f t="shared" si="11"/>
        <v>159</v>
      </c>
    </row>
    <row r="166" spans="1:6">
      <c r="A166" s="2">
        <f t="shared" si="11"/>
        <v>160</v>
      </c>
      <c r="B166" s="2" t="s">
        <v>343</v>
      </c>
      <c r="C166" s="12" t="s">
        <v>344</v>
      </c>
      <c r="D166" s="40"/>
    </row>
    <row r="167" spans="1:6">
      <c r="A167" s="2">
        <f t="shared" si="11"/>
        <v>161</v>
      </c>
      <c r="B167" s="2" t="str">
        <f t="shared" ref="B167:B172" si="14">+$B$166</f>
        <v>448 / 458</v>
      </c>
      <c r="C167" s="17" t="s">
        <v>155</v>
      </c>
      <c r="D167" s="17"/>
    </row>
    <row r="168" spans="1:6">
      <c r="A168" s="2">
        <f t="shared" si="11"/>
        <v>162</v>
      </c>
      <c r="B168" s="2" t="str">
        <f t="shared" si="14"/>
        <v>448 / 458</v>
      </c>
      <c r="C168" s="14" t="s">
        <v>345</v>
      </c>
      <c r="D168" s="8">
        <f>+$D$8</f>
        <v>41043</v>
      </c>
      <c r="E168" s="9">
        <v>995</v>
      </c>
      <c r="F168" s="9">
        <f>+'Exh. JAP-39 (TRANSP RD)'!G14</f>
        <v>2145</v>
      </c>
    </row>
    <row r="169" spans="1:6">
      <c r="A169" s="2">
        <f t="shared" si="11"/>
        <v>163</v>
      </c>
      <c r="B169" s="2" t="str">
        <f t="shared" si="14"/>
        <v>448 / 458</v>
      </c>
      <c r="C169" s="41" t="s">
        <v>346</v>
      </c>
      <c r="D169" s="8">
        <f>+D162</f>
        <v>41456</v>
      </c>
      <c r="E169" s="42">
        <v>1.298</v>
      </c>
      <c r="F169" s="42">
        <f>+'Exh. JAP-39 (TRANSP RD)'!G21</f>
        <v>0</v>
      </c>
    </row>
    <row r="170" spans="1:6">
      <c r="A170" s="2">
        <f t="shared" si="11"/>
        <v>164</v>
      </c>
      <c r="B170" s="2" t="str">
        <f t="shared" si="14"/>
        <v>448 / 458</v>
      </c>
      <c r="C170" s="17" t="s">
        <v>326</v>
      </c>
      <c r="D170" s="17"/>
    </row>
    <row r="171" spans="1:6">
      <c r="A171" s="2">
        <f t="shared" si="11"/>
        <v>165</v>
      </c>
      <c r="B171" s="2" t="str">
        <f t="shared" si="14"/>
        <v>448 / 458</v>
      </c>
      <c r="C171" s="14" t="s">
        <v>345</v>
      </c>
      <c r="D171" s="8">
        <f>+$D$8</f>
        <v>41043</v>
      </c>
      <c r="E171" s="9">
        <f>+E168</f>
        <v>995</v>
      </c>
      <c r="F171" s="9">
        <f>+F168</f>
        <v>2145</v>
      </c>
    </row>
    <row r="172" spans="1:6">
      <c r="A172" s="2">
        <f t="shared" si="11"/>
        <v>166</v>
      </c>
      <c r="B172" s="2" t="str">
        <f t="shared" si="14"/>
        <v>448 / 458</v>
      </c>
      <c r="C172" s="41" t="s">
        <v>346</v>
      </c>
      <c r="D172" s="8">
        <f>+D169</f>
        <v>41456</v>
      </c>
      <c r="E172" s="43">
        <v>-0.12</v>
      </c>
      <c r="F172" s="43">
        <f>+'Exh. JAP-39 (TRANSP RD)'!G22</f>
        <v>0</v>
      </c>
    </row>
    <row r="173" spans="1:6">
      <c r="A173" s="2">
        <f t="shared" si="11"/>
        <v>167</v>
      </c>
      <c r="D173" s="41"/>
      <c r="E173" s="9"/>
      <c r="F173" s="9"/>
    </row>
    <row r="174" spans="1:6">
      <c r="A174" s="2">
        <f t="shared" si="11"/>
        <v>168</v>
      </c>
      <c r="B174" s="13" t="s">
        <v>254</v>
      </c>
      <c r="C174" s="12" t="s">
        <v>347</v>
      </c>
      <c r="D174" s="40"/>
    </row>
    <row r="175" spans="1:6">
      <c r="A175" s="2">
        <f t="shared" si="11"/>
        <v>169</v>
      </c>
      <c r="B175" s="2" t="str">
        <f t="shared" ref="B175:B180" si="15">+$B$174</f>
        <v>449 / 459</v>
      </c>
      <c r="C175" s="17" t="s">
        <v>155</v>
      </c>
      <c r="D175" s="8"/>
    </row>
    <row r="176" spans="1:6">
      <c r="A176" s="2">
        <f t="shared" si="11"/>
        <v>170</v>
      </c>
      <c r="B176" s="2" t="str">
        <f t="shared" si="15"/>
        <v>449 / 459</v>
      </c>
      <c r="C176" s="14" t="s">
        <v>345</v>
      </c>
      <c r="D176" s="8">
        <f>+$D$8</f>
        <v>41043</v>
      </c>
      <c r="E176" s="9">
        <f>+E168</f>
        <v>995</v>
      </c>
      <c r="F176" s="9">
        <f>+F168</f>
        <v>2145</v>
      </c>
    </row>
    <row r="177" spans="1:6">
      <c r="A177" s="2">
        <f t="shared" si="11"/>
        <v>171</v>
      </c>
      <c r="B177" s="2" t="str">
        <f t="shared" si="15"/>
        <v>449 / 459</v>
      </c>
      <c r="C177" s="41" t="s">
        <v>346</v>
      </c>
      <c r="D177" s="8">
        <f>+D169</f>
        <v>41456</v>
      </c>
      <c r="E177" s="42">
        <f>+E169</f>
        <v>1.298</v>
      </c>
      <c r="F177" s="42">
        <f>+F169</f>
        <v>0</v>
      </c>
    </row>
    <row r="178" spans="1:6">
      <c r="A178" s="2">
        <f t="shared" si="11"/>
        <v>172</v>
      </c>
      <c r="B178" s="2" t="str">
        <f t="shared" si="15"/>
        <v>449 / 459</v>
      </c>
      <c r="C178" s="17" t="s">
        <v>326</v>
      </c>
      <c r="D178" s="17"/>
    </row>
    <row r="179" spans="1:6">
      <c r="A179" s="2">
        <f t="shared" si="11"/>
        <v>173</v>
      </c>
      <c r="B179" s="2" t="str">
        <f t="shared" si="15"/>
        <v>449 / 459</v>
      </c>
      <c r="C179" s="14" t="s">
        <v>345</v>
      </c>
      <c r="D179" s="8">
        <f>+$D$8</f>
        <v>41043</v>
      </c>
      <c r="E179" s="9">
        <f>+E171</f>
        <v>995</v>
      </c>
      <c r="F179" s="9">
        <f>+F171</f>
        <v>2145</v>
      </c>
    </row>
    <row r="180" spans="1:6">
      <c r="A180" s="2">
        <f t="shared" si="11"/>
        <v>174</v>
      </c>
      <c r="B180" s="2" t="str">
        <f t="shared" si="15"/>
        <v>449 / 459</v>
      </c>
      <c r="C180" s="41" t="s">
        <v>346</v>
      </c>
      <c r="D180" s="8">
        <f>+D177</f>
        <v>41456</v>
      </c>
      <c r="E180" s="43">
        <f>+E172</f>
        <v>-0.12</v>
      </c>
      <c r="F180" s="43">
        <f>+F172</f>
        <v>0</v>
      </c>
    </row>
  </sheetData>
  <sortState ref="E139:E150">
    <sortCondition ref="E139"/>
  </sortState>
  <mergeCells count="4">
    <mergeCell ref="A1:J1"/>
    <mergeCell ref="A2:J2"/>
    <mergeCell ref="H135:J135"/>
    <mergeCell ref="C137:J137"/>
  </mergeCells>
  <printOptions horizontalCentered="1"/>
  <pageMargins left="0.7" right="0.7" top="0.75" bottom="0.75" header="0.3" footer="0.3"/>
  <pageSetup scale="65" fitToHeight="5" orientation="landscape" r:id="rId1"/>
  <headerFooter alignWithMargins="0">
    <oddFooter>&amp;RExhibit No.___(JAP-39)
Page &amp;P of &amp;N</oddFooter>
  </headerFooter>
  <rowBreaks count="3" manualBreakCount="3">
    <brk id="52" max="9" man="1"/>
    <brk id="100" max="9" man="1"/>
    <brk id="152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3">
    <pageSetUpPr fitToPage="1"/>
  </sheetPr>
  <dimension ref="A1:M23"/>
  <sheetViews>
    <sheetView tabSelected="1" zoomScaleNormal="10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G24" sqref="G24"/>
    </sheetView>
  </sheetViews>
  <sheetFormatPr defaultColWidth="10.25" defaultRowHeight="15.75"/>
  <cols>
    <col min="1" max="1" width="28.875" style="44" bestFit="1" customWidth="1"/>
    <col min="2" max="2" width="1.375" style="44" bestFit="1" customWidth="1"/>
    <col min="3" max="3" width="7.75" style="44" bestFit="1" customWidth="1"/>
    <col min="4" max="4" width="5.125" style="44" bestFit="1" customWidth="1"/>
    <col min="5" max="5" width="2" style="44" bestFit="1" customWidth="1"/>
    <col min="6" max="6" width="11.625" style="44" bestFit="1" customWidth="1"/>
    <col min="7" max="7" width="12.625" style="44" bestFit="1" customWidth="1"/>
    <col min="8" max="8" width="2" style="44" bestFit="1" customWidth="1"/>
    <col min="9" max="9" width="17.25" style="44" bestFit="1" customWidth="1"/>
    <col min="10" max="10" width="1.625" style="44" customWidth="1"/>
    <col min="11" max="11" width="11.25" style="44" customWidth="1"/>
    <col min="12" max="12" width="11.25" style="44" bestFit="1" customWidth="1"/>
    <col min="13" max="13" width="11" style="44" customWidth="1"/>
    <col min="14" max="16384" width="10.25" style="44"/>
  </cols>
  <sheetData>
    <row r="1" spans="1:13" ht="18.75">
      <c r="J1" s="139"/>
    </row>
    <row r="2" spans="1:13" ht="18.75">
      <c r="A2" s="311" t="s">
        <v>54</v>
      </c>
      <c r="B2" s="311"/>
      <c r="C2" s="311"/>
      <c r="D2" s="311"/>
      <c r="E2" s="311"/>
      <c r="F2" s="311"/>
      <c r="G2" s="311"/>
      <c r="H2" s="311"/>
      <c r="I2" s="311"/>
      <c r="J2" s="139"/>
    </row>
    <row r="3" spans="1:13">
      <c r="A3" s="330" t="str">
        <f>'Exh. JAP-39 (Prof-Prop)'!$B$6</f>
        <v>12 MONTHS ENDED SEPTEMBER 2016</v>
      </c>
      <c r="B3" s="330"/>
      <c r="C3" s="330"/>
      <c r="D3" s="330"/>
      <c r="E3" s="330"/>
      <c r="F3" s="330"/>
      <c r="G3" s="330"/>
      <c r="H3" s="330"/>
      <c r="I3" s="330"/>
      <c r="J3" s="140"/>
    </row>
    <row r="4" spans="1:13">
      <c r="A4" s="304" t="s">
        <v>31</v>
      </c>
      <c r="B4" s="304"/>
      <c r="C4" s="304"/>
      <c r="D4" s="304"/>
      <c r="E4" s="304"/>
      <c r="F4" s="304"/>
      <c r="G4" s="304"/>
      <c r="H4" s="304"/>
      <c r="I4" s="304"/>
      <c r="J4" s="45"/>
    </row>
    <row r="5" spans="1:13">
      <c r="A5" s="46" t="s">
        <v>213</v>
      </c>
      <c r="B5" s="141"/>
      <c r="C5" s="141"/>
      <c r="D5" s="142"/>
      <c r="E5" s="142"/>
      <c r="F5" s="141"/>
      <c r="G5" s="142"/>
      <c r="H5" s="141"/>
      <c r="I5" s="141"/>
      <c r="J5" s="141"/>
    </row>
    <row r="6" spans="1:13">
      <c r="A6" s="46"/>
      <c r="B6" s="141"/>
      <c r="C6" s="141"/>
      <c r="D6" s="142"/>
      <c r="E6" s="142"/>
      <c r="F6" s="141"/>
      <c r="G6" s="142"/>
      <c r="H6" s="141"/>
      <c r="I6" s="141"/>
      <c r="J6" s="141"/>
    </row>
    <row r="7" spans="1:13">
      <c r="A7" s="141"/>
      <c r="B7" s="141"/>
      <c r="C7" s="141"/>
      <c r="D7" s="142"/>
      <c r="E7" s="142"/>
      <c r="F7" s="141"/>
      <c r="G7" s="142"/>
      <c r="H7" s="141"/>
      <c r="I7" s="141"/>
      <c r="J7" s="141"/>
    </row>
    <row r="8" spans="1:13">
      <c r="A8" s="48"/>
      <c r="B8" s="48"/>
      <c r="C8" s="47"/>
      <c r="D8" s="48"/>
      <c r="E8" s="48"/>
      <c r="G8" s="48"/>
      <c r="H8" s="49"/>
      <c r="I8" s="49"/>
      <c r="J8" s="49"/>
      <c r="K8" s="50"/>
      <c r="L8" s="50"/>
      <c r="M8" s="50"/>
    </row>
    <row r="9" spans="1:13" ht="30" customHeight="1">
      <c r="A9" s="48"/>
      <c r="B9" s="48"/>
      <c r="C9" s="47" t="s">
        <v>32</v>
      </c>
      <c r="D9" s="326" t="s">
        <v>3</v>
      </c>
      <c r="E9" s="323"/>
      <c r="F9" s="324"/>
      <c r="G9" s="327" t="str">
        <f>'Exh. JAP-39 (Res RD)'!$G$9</f>
        <v>Proposed Effective December 2017</v>
      </c>
      <c r="H9" s="328"/>
      <c r="I9" s="329"/>
      <c r="J9" s="49"/>
      <c r="K9" s="322" t="s">
        <v>51</v>
      </c>
      <c r="L9" s="323"/>
      <c r="M9" s="324"/>
    </row>
    <row r="10" spans="1:13" ht="29.25">
      <c r="A10" s="48"/>
      <c r="B10" s="48"/>
      <c r="C10" s="51" t="s">
        <v>33</v>
      </c>
      <c r="D10" s="52" t="s">
        <v>34</v>
      </c>
      <c r="E10" s="53"/>
      <c r="F10" s="49" t="s">
        <v>35</v>
      </c>
      <c r="G10" s="52" t="s">
        <v>371</v>
      </c>
      <c r="H10" s="52"/>
      <c r="I10" s="52" t="s">
        <v>372</v>
      </c>
      <c r="J10" s="52"/>
      <c r="K10" s="50" t="s">
        <v>221</v>
      </c>
      <c r="L10" s="50" t="s">
        <v>222</v>
      </c>
      <c r="M10" s="50" t="s">
        <v>223</v>
      </c>
    </row>
    <row r="11" spans="1:13">
      <c r="A11" s="54"/>
      <c r="B11" s="54"/>
      <c r="C11" s="55"/>
      <c r="D11" s="56"/>
      <c r="E11" s="54"/>
      <c r="F11" s="57"/>
      <c r="G11" s="56"/>
      <c r="H11" s="54"/>
      <c r="I11" s="57"/>
      <c r="J11" s="57"/>
    </row>
    <row r="12" spans="1:13">
      <c r="A12" s="325" t="s">
        <v>219</v>
      </c>
      <c r="B12" s="325"/>
      <c r="C12" s="325"/>
      <c r="D12" s="325"/>
      <c r="E12" s="325"/>
      <c r="F12" s="325"/>
      <c r="G12" s="325"/>
      <c r="H12" s="325"/>
      <c r="I12" s="325"/>
      <c r="J12" s="57"/>
    </row>
    <row r="13" spans="1:13">
      <c r="A13" s="54" t="s">
        <v>214</v>
      </c>
      <c r="B13" s="54"/>
      <c r="C13" s="58">
        <v>144</v>
      </c>
      <c r="D13" s="56"/>
      <c r="E13" s="54"/>
      <c r="F13" s="57">
        <v>18514</v>
      </c>
      <c r="G13" s="57">
        <v>16354</v>
      </c>
      <c r="H13" s="54"/>
      <c r="I13" s="57">
        <f>ROUND(G13/$G$22*'Exh. JAP-39 (Rate Spread)'!$K$27*1000,0)</f>
        <v>16328</v>
      </c>
      <c r="J13" s="57"/>
      <c r="K13" s="59">
        <f>SUM(L13:M13)</f>
        <v>104655</v>
      </c>
      <c r="L13" s="59">
        <v>179940</v>
      </c>
      <c r="M13" s="59">
        <v>-75285</v>
      </c>
    </row>
    <row r="14" spans="1:13">
      <c r="A14" s="54" t="s">
        <v>48</v>
      </c>
      <c r="B14" s="54"/>
      <c r="C14" s="58">
        <v>1755</v>
      </c>
      <c r="D14" s="56"/>
      <c r="E14" s="54"/>
      <c r="F14" s="57">
        <v>129066</v>
      </c>
      <c r="G14" s="57">
        <v>155536</v>
      </c>
      <c r="H14" s="54"/>
      <c r="I14" s="57">
        <f>ROUND(G14/$G$22*'Exh. JAP-39 (Rate Spread)'!$K$27*1000,0)</f>
        <v>155286</v>
      </c>
      <c r="J14" s="57"/>
      <c r="K14" s="59">
        <f t="shared" ref="K14:K20" si="0">SUM(L14:M14)</f>
        <v>473448.2585</v>
      </c>
      <c r="L14" s="59">
        <v>459949.408</v>
      </c>
      <c r="M14" s="59">
        <v>13498.850500000002</v>
      </c>
    </row>
    <row r="15" spans="1:13">
      <c r="A15" s="54" t="s">
        <v>215</v>
      </c>
      <c r="B15" s="54"/>
      <c r="C15" s="58">
        <v>30201</v>
      </c>
      <c r="D15" s="56"/>
      <c r="E15" s="54"/>
      <c r="F15" s="57">
        <v>3091875</v>
      </c>
      <c r="G15" s="57">
        <v>2574055</v>
      </c>
      <c r="H15" s="54"/>
      <c r="I15" s="57">
        <f>ROUND(G15/$G$22*'Exh. JAP-39 (Rate Spread)'!$K$27*1000,0)</f>
        <v>2569922</v>
      </c>
      <c r="J15" s="57"/>
      <c r="K15" s="59">
        <f t="shared" si="0"/>
        <v>13754187.789999997</v>
      </c>
      <c r="L15" s="59">
        <v>13773730.199999997</v>
      </c>
      <c r="M15" s="59">
        <v>-19542.410000000033</v>
      </c>
    </row>
    <row r="16" spans="1:13">
      <c r="A16" s="54" t="s">
        <v>49</v>
      </c>
      <c r="B16" s="54"/>
      <c r="C16" s="58">
        <v>29281</v>
      </c>
      <c r="D16" s="56"/>
      <c r="E16" s="54"/>
      <c r="F16" s="57">
        <v>11257552</v>
      </c>
      <c r="G16" s="57">
        <v>12890196</v>
      </c>
      <c r="H16" s="54"/>
      <c r="I16" s="57">
        <f>ROUND(G16/$G$22*'Exh. JAP-39 (Rate Spread)'!$K$27*1000,0)</f>
        <v>12869498</v>
      </c>
      <c r="J16" s="57"/>
      <c r="K16" s="59">
        <f t="shared" si="0"/>
        <v>43416005.963500001</v>
      </c>
      <c r="L16" s="59">
        <v>46174693.041000001</v>
      </c>
      <c r="M16" s="59">
        <v>-2758687.0775000006</v>
      </c>
    </row>
    <row r="17" spans="1:13">
      <c r="A17" s="54" t="s">
        <v>50</v>
      </c>
      <c r="B17" s="54"/>
      <c r="C17" s="58">
        <v>528</v>
      </c>
      <c r="D17" s="56"/>
      <c r="E17" s="54"/>
      <c r="F17" s="57">
        <v>873551</v>
      </c>
      <c r="G17" s="57">
        <v>743698</v>
      </c>
      <c r="H17" s="54"/>
      <c r="I17" s="57">
        <f>ROUND(G17/$G$22*'Exh. JAP-39 (Rate Spread)'!$K$27*1000,0)</f>
        <v>742504</v>
      </c>
      <c r="J17" s="57"/>
      <c r="K17" s="59">
        <f t="shared" si="0"/>
        <v>8045663.7919999994</v>
      </c>
      <c r="L17" s="59">
        <v>8926151.7919999994</v>
      </c>
      <c r="M17" s="59">
        <v>-880488</v>
      </c>
    </row>
    <row r="18" spans="1:13">
      <c r="A18" s="54" t="s">
        <v>217</v>
      </c>
      <c r="B18" s="54"/>
      <c r="C18" s="58">
        <v>19837</v>
      </c>
      <c r="D18" s="56"/>
      <c r="E18" s="54"/>
      <c r="F18" s="57">
        <v>1000299</v>
      </c>
      <c r="G18" s="57">
        <v>1143105</v>
      </c>
      <c r="H18" s="54"/>
      <c r="I18" s="57">
        <f>ROUND(G18/$G$22*'Exh. JAP-39 (Rate Spread)'!$K$27*1000,0)</f>
        <v>1141270</v>
      </c>
      <c r="J18" s="57"/>
      <c r="K18" s="59">
        <f t="shared" si="0"/>
        <v>3890374.6445000004</v>
      </c>
      <c r="L18" s="59">
        <v>3893849.0450000004</v>
      </c>
      <c r="M18" s="59">
        <v>-3474.4005000000179</v>
      </c>
    </row>
    <row r="19" spans="1:13">
      <c r="A19" s="54" t="s">
        <v>216</v>
      </c>
      <c r="B19" s="54"/>
      <c r="C19" s="58">
        <v>1310</v>
      </c>
      <c r="D19" s="56"/>
      <c r="E19" s="54"/>
      <c r="F19" s="57">
        <v>377189</v>
      </c>
      <c r="G19" s="57">
        <v>641063</v>
      </c>
      <c r="H19" s="54"/>
      <c r="I19" s="57">
        <f>ROUND(G19/$G$22*'Exh. JAP-39 (Rate Spread)'!$K$27*1000,0)</f>
        <v>640034</v>
      </c>
      <c r="J19" s="57"/>
      <c r="K19" s="59">
        <f t="shared" si="0"/>
        <v>5939077.1749999998</v>
      </c>
      <c r="L19" s="59">
        <v>4534791.4849999994</v>
      </c>
      <c r="M19" s="59">
        <v>1404285.6900000002</v>
      </c>
    </row>
    <row r="20" spans="1:13">
      <c r="A20" s="54" t="s">
        <v>218</v>
      </c>
      <c r="B20" s="54"/>
      <c r="C20" s="58">
        <v>3662</v>
      </c>
      <c r="D20" s="56"/>
      <c r="E20" s="54"/>
      <c r="F20" s="57">
        <v>419051</v>
      </c>
      <c r="G20" s="57">
        <v>434386</v>
      </c>
      <c r="H20" s="54"/>
      <c r="I20" s="57">
        <f>ROUND(G20/$G$22*'Exh. JAP-39 (Rate Spread)'!$K$27*1000,0)</f>
        <v>433689</v>
      </c>
      <c r="J20" s="57"/>
      <c r="K20" s="59">
        <f t="shared" si="0"/>
        <v>2348936.6825000001</v>
      </c>
      <c r="L20" s="59">
        <v>2337951.7660000003</v>
      </c>
      <c r="M20" s="59">
        <v>10984.916500000007</v>
      </c>
    </row>
    <row r="21" spans="1:13">
      <c r="A21" s="54"/>
      <c r="B21" s="54"/>
      <c r="C21" s="60"/>
      <c r="D21" s="56"/>
      <c r="E21" s="54"/>
      <c r="F21" s="57"/>
      <c r="G21" s="56"/>
      <c r="H21" s="54"/>
      <c r="I21" s="57"/>
      <c r="J21" s="57"/>
      <c r="K21" s="59"/>
      <c r="L21" s="59"/>
      <c r="M21" s="59"/>
    </row>
    <row r="22" spans="1:13" ht="16.5" thickBot="1">
      <c r="A22" s="54" t="s">
        <v>220</v>
      </c>
      <c r="B22" s="54"/>
      <c r="C22" s="61">
        <f>SUM(C13:C21)</f>
        <v>86718</v>
      </c>
      <c r="D22" s="56"/>
      <c r="E22" s="54"/>
      <c r="F22" s="62">
        <f>SUM(F13:F21)</f>
        <v>17167097</v>
      </c>
      <c r="G22" s="62">
        <f>SUM(G13:G21)</f>
        <v>18598393</v>
      </c>
      <c r="H22" s="54"/>
      <c r="I22" s="62">
        <f>SUM(I13:I21)</f>
        <v>18568531</v>
      </c>
      <c r="J22" s="57"/>
      <c r="K22" s="61">
        <f t="shared" ref="K22:M22" si="1">SUM(K13:K21)</f>
        <v>77972349.305999994</v>
      </c>
      <c r="L22" s="61">
        <f t="shared" si="1"/>
        <v>80281056.737000003</v>
      </c>
      <c r="M22" s="61">
        <f t="shared" si="1"/>
        <v>-2308707.4310000003</v>
      </c>
    </row>
    <row r="23" spans="1:13" ht="16.5" thickTop="1">
      <c r="A23" s="54"/>
      <c r="B23" s="54"/>
      <c r="C23" s="55"/>
      <c r="D23" s="56"/>
      <c r="E23" s="54"/>
      <c r="F23" s="57"/>
      <c r="G23" s="56"/>
      <c r="H23" s="54"/>
      <c r="I23" s="57"/>
      <c r="J23" s="57"/>
    </row>
  </sheetData>
  <mergeCells count="7">
    <mergeCell ref="K9:M9"/>
    <mergeCell ref="A12:I12"/>
    <mergeCell ref="A2:I2"/>
    <mergeCell ref="A3:I3"/>
    <mergeCell ref="A4:I4"/>
    <mergeCell ref="D9:F9"/>
    <mergeCell ref="G9:I9"/>
  </mergeCells>
  <printOptions horizontalCentered="1"/>
  <pageMargins left="0.7" right="0.7" top="0.75" bottom="0.71" header="0.3" footer="0.3"/>
  <pageSetup scale="92" orientation="landscape" r:id="rId1"/>
  <headerFooter alignWithMargins="0">
    <oddFooter>&amp;RExhibit No.___(JAP-39)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O40"/>
  <sheetViews>
    <sheetView zoomScaleNormal="100" workbookViewId="0">
      <selection activeCell="M8" sqref="M8"/>
    </sheetView>
  </sheetViews>
  <sheetFormatPr defaultColWidth="8.75" defaultRowHeight="12.75"/>
  <cols>
    <col min="1" max="1" width="4.625" style="226" customWidth="1"/>
    <col min="2" max="2" width="27" style="226" bestFit="1" customWidth="1"/>
    <col min="3" max="3" width="11.875" style="226" bestFit="1" customWidth="1"/>
    <col min="4" max="5" width="10.25" style="226" bestFit="1" customWidth="1"/>
    <col min="6" max="6" width="11.875" style="226" bestFit="1" customWidth="1"/>
    <col min="7" max="7" width="9.25" style="226" bestFit="1" customWidth="1"/>
    <col min="8" max="8" width="8.25" style="226" bestFit="1" customWidth="1"/>
    <col min="9" max="9" width="10.875" style="226" bestFit="1" customWidth="1"/>
    <col min="10" max="10" width="8.75" style="226" bestFit="1" customWidth="1"/>
    <col min="11" max="11" width="10.25" style="226" bestFit="1" customWidth="1"/>
    <col min="12" max="12" width="3.5" style="226" customWidth="1"/>
    <col min="13" max="13" width="11.875" style="226" bestFit="1" customWidth="1"/>
    <col min="14" max="14" width="10" style="226" bestFit="1" customWidth="1"/>
    <col min="15" max="16384" width="8.75" style="226"/>
  </cols>
  <sheetData>
    <row r="1" spans="1:13">
      <c r="A1" s="286" t="s">
        <v>94</v>
      </c>
      <c r="B1" s="287" t="s">
        <v>224</v>
      </c>
      <c r="C1" s="287"/>
      <c r="D1" s="287"/>
      <c r="E1" s="287"/>
      <c r="F1" s="287"/>
      <c r="G1" s="287"/>
      <c r="H1" s="287"/>
      <c r="I1" s="287"/>
      <c r="J1" s="287"/>
      <c r="K1" s="287"/>
    </row>
    <row r="2" spans="1:13">
      <c r="A2" s="286" t="s">
        <v>352</v>
      </c>
      <c r="B2" s="287" t="s">
        <v>224</v>
      </c>
      <c r="C2" s="287"/>
      <c r="D2" s="287"/>
      <c r="E2" s="287"/>
      <c r="F2" s="287"/>
      <c r="G2" s="287"/>
      <c r="H2" s="287"/>
      <c r="I2" s="287"/>
      <c r="J2" s="287"/>
      <c r="K2" s="287"/>
    </row>
    <row r="3" spans="1:13">
      <c r="A3" s="287" t="s">
        <v>225</v>
      </c>
      <c r="B3" s="287" t="s">
        <v>225</v>
      </c>
      <c r="C3" s="287"/>
      <c r="D3" s="287"/>
      <c r="E3" s="287"/>
      <c r="F3" s="287"/>
      <c r="G3" s="287"/>
      <c r="H3" s="287"/>
      <c r="I3" s="287"/>
      <c r="J3" s="287"/>
      <c r="K3" s="287"/>
    </row>
    <row r="4" spans="1:13">
      <c r="A4" s="224"/>
      <c r="B4" s="227"/>
      <c r="C4" s="227"/>
      <c r="D4" s="227"/>
      <c r="E4" s="227"/>
      <c r="F4" s="227"/>
      <c r="G4" s="227"/>
      <c r="H4" s="227"/>
      <c r="I4" s="227"/>
      <c r="J4" s="227"/>
      <c r="K4" s="227"/>
    </row>
    <row r="5" spans="1:13" ht="63.75">
      <c r="A5" s="228" t="s">
        <v>226</v>
      </c>
      <c r="B5" s="228" t="s">
        <v>227</v>
      </c>
      <c r="C5" s="228" t="s">
        <v>228</v>
      </c>
      <c r="D5" s="229" t="s">
        <v>263</v>
      </c>
      <c r="E5" s="229" t="s">
        <v>269</v>
      </c>
      <c r="F5" s="229" t="s">
        <v>267</v>
      </c>
      <c r="G5" s="229" t="s">
        <v>264</v>
      </c>
      <c r="H5" s="229" t="s">
        <v>229</v>
      </c>
      <c r="I5" s="229" t="s">
        <v>230</v>
      </c>
      <c r="J5" s="229" t="s">
        <v>266</v>
      </c>
      <c r="K5" s="229" t="s">
        <v>265</v>
      </c>
    </row>
    <row r="6" spans="1:13">
      <c r="A6" s="230"/>
      <c r="B6" s="231"/>
      <c r="C6" s="232"/>
      <c r="D6" s="232" t="s">
        <v>231</v>
      </c>
      <c r="E6" s="232" t="s">
        <v>232</v>
      </c>
      <c r="F6" s="230" t="s">
        <v>233</v>
      </c>
      <c r="G6" s="232" t="s">
        <v>234</v>
      </c>
      <c r="H6" s="230" t="s">
        <v>235</v>
      </c>
      <c r="I6" s="230" t="s">
        <v>236</v>
      </c>
      <c r="J6" s="233" t="s">
        <v>237</v>
      </c>
      <c r="K6" s="233" t="s">
        <v>238</v>
      </c>
    </row>
    <row r="7" spans="1:13">
      <c r="A7" s="230"/>
      <c r="B7" s="231"/>
      <c r="C7" s="232"/>
      <c r="D7" s="232"/>
      <c r="E7" s="232"/>
      <c r="F7" s="230"/>
      <c r="G7" s="232"/>
      <c r="H7" s="230"/>
      <c r="I7" s="230"/>
      <c r="J7" s="230"/>
      <c r="K7" s="230"/>
    </row>
    <row r="8" spans="1:13">
      <c r="A8" s="234">
        <v>1</v>
      </c>
      <c r="B8" s="235" t="s">
        <v>239</v>
      </c>
      <c r="C8" s="236">
        <v>7</v>
      </c>
      <c r="D8" s="237">
        <f>+'Exh. JAP-39 (Prof-Prop)'!J17</f>
        <v>10442426</v>
      </c>
      <c r="E8" s="238">
        <f>+'Exh. JAP-39 (Prof-Prop)'!L17</f>
        <v>1066627</v>
      </c>
      <c r="F8" s="224"/>
      <c r="G8" s="239">
        <f>E8/(E$33-E$21-E$31-$E$25)</f>
        <v>0.55907676536335116</v>
      </c>
      <c r="H8" s="240">
        <v>1</v>
      </c>
      <c r="I8" s="241">
        <f>+$I$39*H8</f>
        <v>8.163482352212946E-2</v>
      </c>
      <c r="J8" s="238">
        <f>+E8*I8</f>
        <v>87073.906908938385</v>
      </c>
      <c r="K8" s="238">
        <f>+E8+J8</f>
        <v>1153700.9069089384</v>
      </c>
      <c r="M8" s="242">
        <f>+J8*1000</f>
        <v>87073906.908938378</v>
      </c>
    </row>
    <row r="9" spans="1:13">
      <c r="A9" s="234">
        <f>+A8+1</f>
        <v>2</v>
      </c>
      <c r="B9" s="224"/>
      <c r="C9" s="236"/>
      <c r="D9" s="243"/>
      <c r="E9" s="244"/>
      <c r="F9" s="224"/>
      <c r="G9" s="245"/>
      <c r="H9" s="224"/>
      <c r="I9" s="224"/>
      <c r="J9" s="244"/>
      <c r="K9" s="244"/>
      <c r="M9" s="242">
        <f t="shared" ref="M9:M33" si="0">+J9*1000</f>
        <v>0</v>
      </c>
    </row>
    <row r="10" spans="1:13">
      <c r="A10" s="234">
        <f t="shared" ref="A10:A39" si="1">+A9+1</f>
        <v>3</v>
      </c>
      <c r="B10" s="224" t="s">
        <v>159</v>
      </c>
      <c r="C10" s="236"/>
      <c r="D10" s="243"/>
      <c r="E10" s="244"/>
      <c r="F10" s="224"/>
      <c r="G10" s="245"/>
      <c r="H10" s="224"/>
      <c r="I10" s="224"/>
      <c r="J10" s="244"/>
      <c r="K10" s="244"/>
      <c r="M10" s="242">
        <f t="shared" si="0"/>
        <v>0</v>
      </c>
    </row>
    <row r="11" spans="1:13">
      <c r="A11" s="234">
        <f t="shared" si="1"/>
        <v>4</v>
      </c>
      <c r="B11" s="246" t="s">
        <v>240</v>
      </c>
      <c r="C11" s="247" t="s">
        <v>241</v>
      </c>
      <c r="D11" s="248">
        <f>SUM('Exh. JAP-39 (Prof-Prop)'!J21)</f>
        <v>2787459</v>
      </c>
      <c r="E11" s="244">
        <f>SUM('Exh. JAP-39 (Prof-Prop)'!L21)</f>
        <v>266944</v>
      </c>
      <c r="F11" s="224"/>
      <c r="G11" s="239">
        <f t="shared" ref="G11:G13" si="2">E11/(E$33-E$21-E$31-$E$25)</f>
        <v>0.13991975456570516</v>
      </c>
      <c r="H11" s="240">
        <v>0.75</v>
      </c>
      <c r="I11" s="241">
        <f t="shared" ref="I11:I13" si="3">+$I$39*H11</f>
        <v>6.1226117641597091E-2</v>
      </c>
      <c r="J11" s="244">
        <f t="shared" ref="J11:J13" si="4">+E11*I11</f>
        <v>16343.944747718493</v>
      </c>
      <c r="K11" s="244">
        <f>+E11+J11</f>
        <v>283287.94474771852</v>
      </c>
      <c r="M11" s="242">
        <f t="shared" si="0"/>
        <v>16343944.747718493</v>
      </c>
    </row>
    <row r="12" spans="1:13">
      <c r="A12" s="234">
        <f t="shared" si="1"/>
        <v>5</v>
      </c>
      <c r="B12" s="246" t="s">
        <v>242</v>
      </c>
      <c r="C12" s="247" t="s">
        <v>243</v>
      </c>
      <c r="D12" s="248">
        <f>SUM('Exh. JAP-39 (Prof-Prop)'!J22,'Exh. JAP-39 (Prof-Prop)'!J24)</f>
        <v>2845226</v>
      </c>
      <c r="E12" s="244">
        <f>SUM('Exh. JAP-39 (Prof-Prop)'!L22,'Exh. JAP-39 (Prof-Prop)'!L24)</f>
        <v>252922.74600000001</v>
      </c>
      <c r="F12" s="224"/>
      <c r="G12" s="239">
        <f t="shared" si="2"/>
        <v>0.13257045876440074</v>
      </c>
      <c r="H12" s="240">
        <v>0.75</v>
      </c>
      <c r="I12" s="241">
        <f t="shared" si="3"/>
        <v>6.1226117641597091E-2</v>
      </c>
      <c r="J12" s="244">
        <f t="shared" si="4"/>
        <v>15485.477800831781</v>
      </c>
      <c r="K12" s="244">
        <f>+E12+J12</f>
        <v>268408.22380083182</v>
      </c>
      <c r="M12" s="242">
        <f t="shared" si="0"/>
        <v>15485477.80083178</v>
      </c>
    </row>
    <row r="13" spans="1:13">
      <c r="A13" s="234">
        <f t="shared" si="1"/>
        <v>6</v>
      </c>
      <c r="B13" s="246" t="s">
        <v>244</v>
      </c>
      <c r="C13" s="249" t="s">
        <v>245</v>
      </c>
      <c r="D13" s="248">
        <f>SUM('Exh. JAP-39 (Prof-Prop)'!J23)</f>
        <v>1867681.9043816456</v>
      </c>
      <c r="E13" s="244">
        <f>SUM('Exh. JAP-39 (Prof-Prop)'!L23)</f>
        <v>151834.74299999999</v>
      </c>
      <c r="F13" s="224"/>
      <c r="G13" s="239">
        <f t="shared" si="2"/>
        <v>7.9584781733647955E-2</v>
      </c>
      <c r="H13" s="240">
        <v>0.75</v>
      </c>
      <c r="I13" s="241">
        <f t="shared" si="3"/>
        <v>6.1226117641597091E-2</v>
      </c>
      <c r="J13" s="244">
        <f t="shared" si="4"/>
        <v>9296.2518369996596</v>
      </c>
      <c r="K13" s="244">
        <f>+E13+J13</f>
        <v>161130.99483699966</v>
      </c>
      <c r="M13" s="242">
        <f t="shared" si="0"/>
        <v>9296251.8369996604</v>
      </c>
    </row>
    <row r="14" spans="1:13">
      <c r="A14" s="234">
        <f t="shared" si="1"/>
        <v>7</v>
      </c>
      <c r="B14" s="250" t="s">
        <v>246</v>
      </c>
      <c r="C14" s="236"/>
      <c r="D14" s="251">
        <f>SUM(D11:D13)</f>
        <v>7500366.9043816458</v>
      </c>
      <c r="E14" s="238">
        <f>SUM(E11:E13)</f>
        <v>671701.48900000006</v>
      </c>
      <c r="F14" s="224"/>
      <c r="G14" s="245"/>
      <c r="H14" s="224"/>
      <c r="I14" s="224"/>
      <c r="J14" s="238">
        <f>SUM(J11:J13)</f>
        <v>41125.674385549937</v>
      </c>
      <c r="K14" s="238">
        <f>SUM(K11:K13)</f>
        <v>712827.16338555003</v>
      </c>
      <c r="M14" s="242">
        <f t="shared" si="0"/>
        <v>41125674.38554994</v>
      </c>
    </row>
    <row r="15" spans="1:13">
      <c r="A15" s="234">
        <f t="shared" si="1"/>
        <v>8</v>
      </c>
      <c r="B15" s="224"/>
      <c r="C15" s="236"/>
      <c r="D15" s="252"/>
      <c r="E15" s="244"/>
      <c r="F15" s="224"/>
      <c r="G15" s="245"/>
      <c r="H15" s="224"/>
      <c r="I15" s="224"/>
      <c r="J15" s="244"/>
      <c r="K15" s="244"/>
      <c r="M15" s="242">
        <f t="shared" si="0"/>
        <v>0</v>
      </c>
    </row>
    <row r="16" spans="1:13">
      <c r="A16" s="234">
        <f t="shared" si="1"/>
        <v>9</v>
      </c>
      <c r="B16" s="224" t="s">
        <v>155</v>
      </c>
      <c r="C16" s="236"/>
      <c r="D16" s="252"/>
      <c r="E16" s="244"/>
      <c r="F16" s="224"/>
      <c r="G16" s="245"/>
      <c r="H16" s="224"/>
      <c r="I16" s="224"/>
      <c r="J16" s="244"/>
      <c r="K16" s="244"/>
      <c r="M16" s="242">
        <f t="shared" si="0"/>
        <v>0</v>
      </c>
    </row>
    <row r="17" spans="1:15">
      <c r="A17" s="234">
        <f t="shared" si="1"/>
        <v>10</v>
      </c>
      <c r="B17" s="246" t="s">
        <v>247</v>
      </c>
      <c r="C17" s="247" t="s">
        <v>248</v>
      </c>
      <c r="D17" s="248">
        <f>SUM('Exh. JAP-39 (Prof-Prop)'!J28:J29)</f>
        <v>1268986.9744586968</v>
      </c>
      <c r="E17" s="244">
        <f>SUM('Exh. JAP-39 (Prof-Prop)'!L28:L29)</f>
        <v>101642.894</v>
      </c>
      <c r="F17" s="224"/>
      <c r="G17" s="239">
        <f t="shared" ref="G17:G18" si="5">E17/(E$33-E$21-E$31-$E$25)</f>
        <v>5.3276525345495637E-2</v>
      </c>
      <c r="H17" s="240">
        <v>0.75</v>
      </c>
      <c r="I17" s="241">
        <f t="shared" ref="I17:I18" si="6">+$I$39*H17</f>
        <v>6.1226117641597091E-2</v>
      </c>
      <c r="J17" s="244">
        <f t="shared" ref="J17:J18" si="7">+E17*I17</f>
        <v>6223.1997854763831</v>
      </c>
      <c r="K17" s="244">
        <f>+E17+J17</f>
        <v>107866.09378547638</v>
      </c>
      <c r="M17" s="242">
        <f t="shared" si="0"/>
        <v>6223199.7854763828</v>
      </c>
    </row>
    <row r="18" spans="1:15">
      <c r="A18" s="234">
        <f t="shared" si="1"/>
        <v>11</v>
      </c>
      <c r="B18" s="253" t="s">
        <v>249</v>
      </c>
      <c r="C18" s="236">
        <v>43</v>
      </c>
      <c r="D18" s="248">
        <f>SUM('Exh. JAP-39 (Prof-Prop)'!J30)</f>
        <v>119660.40146477679</v>
      </c>
      <c r="E18" s="244">
        <f>SUM('Exh. JAP-39 (Prof-Prop)'!L30)</f>
        <v>10337.824000000001</v>
      </c>
      <c r="F18" s="224"/>
      <c r="G18" s="239">
        <f t="shared" si="5"/>
        <v>5.4186113822504217E-3</v>
      </c>
      <c r="H18" s="240">
        <v>1</v>
      </c>
      <c r="I18" s="241">
        <f t="shared" si="6"/>
        <v>8.163482352212946E-2</v>
      </c>
      <c r="J18" s="244">
        <f t="shared" si="7"/>
        <v>843.9264378428345</v>
      </c>
      <c r="K18" s="244">
        <f>+E18+J18</f>
        <v>11181.750437842835</v>
      </c>
      <c r="M18" s="242">
        <f t="shared" si="0"/>
        <v>843926.43784283451</v>
      </c>
    </row>
    <row r="19" spans="1:15">
      <c r="A19" s="234">
        <f t="shared" si="1"/>
        <v>12</v>
      </c>
      <c r="B19" s="235" t="s">
        <v>250</v>
      </c>
      <c r="C19" s="236"/>
      <c r="D19" s="251">
        <f>SUM(D17:D18)</f>
        <v>1388647.3759234736</v>
      </c>
      <c r="E19" s="238">
        <f>SUM(E17:E18)</f>
        <v>111980.71799999999</v>
      </c>
      <c r="F19" s="224"/>
      <c r="G19" s="245"/>
      <c r="H19" s="224"/>
      <c r="I19" s="224"/>
      <c r="J19" s="238">
        <f>SUM(J17:J18)</f>
        <v>7067.1262233192174</v>
      </c>
      <c r="K19" s="238">
        <f>SUM(K17:K18)</f>
        <v>119047.8442233192</v>
      </c>
      <c r="M19" s="242">
        <f t="shared" si="0"/>
        <v>7067126.2233192176</v>
      </c>
    </row>
    <row r="20" spans="1:15">
      <c r="A20" s="234">
        <f t="shared" si="1"/>
        <v>13</v>
      </c>
      <c r="B20" s="224"/>
      <c r="C20" s="236"/>
      <c r="D20" s="254"/>
      <c r="E20" s="255"/>
      <c r="F20" s="224"/>
      <c r="G20" s="256"/>
      <c r="H20" s="224"/>
      <c r="I20" s="224"/>
      <c r="J20" s="224"/>
      <c r="K20" s="224"/>
      <c r="M20" s="242">
        <f t="shared" si="0"/>
        <v>0</v>
      </c>
    </row>
    <row r="21" spans="1:15">
      <c r="A21" s="234">
        <f t="shared" si="1"/>
        <v>14</v>
      </c>
      <c r="B21" s="235" t="s">
        <v>62</v>
      </c>
      <c r="C21" s="236">
        <v>40</v>
      </c>
      <c r="D21" s="257">
        <f>SUM('Exh. JAP-39 (Prof-Prop)'!J33)</f>
        <v>674604.05341613106</v>
      </c>
      <c r="E21" s="238">
        <f>SUM('Exh. JAP-39 (Prof-Prop)'!L33)</f>
        <v>47836.637129941089</v>
      </c>
      <c r="F21" s="224"/>
      <c r="G21" s="245"/>
      <c r="H21" s="224"/>
      <c r="I21" s="241">
        <f>((J21)/E21)</f>
        <v>8.43861770399853E-2</v>
      </c>
      <c r="J21" s="238">
        <v>4036.750929844743</v>
      </c>
      <c r="K21" s="238">
        <f>+E21+J21</f>
        <v>51873.38805978583</v>
      </c>
      <c r="M21" s="242">
        <f t="shared" si="0"/>
        <v>4036750.9298447431</v>
      </c>
    </row>
    <row r="22" spans="1:15">
      <c r="A22" s="234">
        <f t="shared" si="1"/>
        <v>15</v>
      </c>
      <c r="B22" s="224"/>
      <c r="C22" s="236"/>
      <c r="D22" s="254"/>
      <c r="E22" s="255"/>
      <c r="F22" s="224"/>
      <c r="G22" s="256"/>
      <c r="H22" s="224"/>
      <c r="I22" s="224"/>
      <c r="J22" s="224"/>
      <c r="K22" s="224"/>
      <c r="M22" s="242">
        <f t="shared" si="0"/>
        <v>0</v>
      </c>
    </row>
    <row r="23" spans="1:15">
      <c r="A23" s="234">
        <f t="shared" si="1"/>
        <v>16</v>
      </c>
      <c r="B23" s="250" t="s">
        <v>251</v>
      </c>
      <c r="C23" s="236" t="s">
        <v>252</v>
      </c>
      <c r="D23" s="257">
        <f>SUM('Exh. JAP-39 (Prof-Prop)'!J38)</f>
        <v>632259.21669800009</v>
      </c>
      <c r="E23" s="238">
        <f>SUM('Exh. JAP-39 (Prof-Prop)'!L38)</f>
        <v>40360.090000000004</v>
      </c>
      <c r="F23" s="224"/>
      <c r="G23" s="239">
        <f>E23/(E$33-E$21-E$31-$E$25)</f>
        <v>2.1154900979418051E-2</v>
      </c>
      <c r="H23" s="240">
        <v>0.75</v>
      </c>
      <c r="I23" s="241">
        <f>+$I$39*H23</f>
        <v>6.1226117641597091E-2</v>
      </c>
      <c r="J23" s="238">
        <f>+E23*I23</f>
        <v>2471.0916183654467</v>
      </c>
      <c r="K23" s="238">
        <f>+E23+J23</f>
        <v>42831.181618365452</v>
      </c>
      <c r="M23" s="242">
        <f t="shared" si="0"/>
        <v>2471091.6183654466</v>
      </c>
    </row>
    <row r="24" spans="1:15">
      <c r="A24" s="234">
        <f t="shared" si="1"/>
        <v>17</v>
      </c>
      <c r="B24" s="224"/>
      <c r="C24" s="236"/>
      <c r="D24" s="254"/>
      <c r="E24" s="255"/>
      <c r="F24" s="224"/>
      <c r="G24" s="256"/>
      <c r="H24" s="224"/>
      <c r="I24" s="224"/>
      <c r="J24" s="258"/>
      <c r="K24" s="258"/>
      <c r="M24" s="242">
        <f t="shared" si="0"/>
        <v>0</v>
      </c>
    </row>
    <row r="25" spans="1:15">
      <c r="A25" s="234">
        <f t="shared" si="1"/>
        <v>18</v>
      </c>
      <c r="B25" s="235" t="s">
        <v>253</v>
      </c>
      <c r="C25" s="247" t="s">
        <v>254</v>
      </c>
      <c r="D25" s="257">
        <f>SUM('Exh. JAP-39 (Prof-Prop)'!J40)</f>
        <v>2098103.6366259996</v>
      </c>
      <c r="E25" s="238">
        <f>SUM('Exh. JAP-39 (Prof-Prop)'!L40)</f>
        <v>7513.2849999999999</v>
      </c>
      <c r="F25" s="224"/>
      <c r="G25" s="239"/>
      <c r="H25" s="240"/>
      <c r="I25" s="241">
        <f>((J25)/E25)</f>
        <v>6.0019019643205336E-2</v>
      </c>
      <c r="J25" s="238">
        <f>(+'Exh. JAP-39 (TRANSP RD)'!I27-'Exh. JAP-39 (TRANSP RD)'!F27)/1000</f>
        <v>450.94</v>
      </c>
      <c r="K25" s="238">
        <f>+E25+J25</f>
        <v>7964.2249999999995</v>
      </c>
      <c r="M25" s="242">
        <f t="shared" si="0"/>
        <v>450940</v>
      </c>
    </row>
    <row r="26" spans="1:15">
      <c r="A26" s="234">
        <f t="shared" si="1"/>
        <v>19</v>
      </c>
      <c r="B26" s="224"/>
      <c r="C26" s="236"/>
      <c r="D26" s="254"/>
      <c r="E26" s="255"/>
      <c r="F26" s="224"/>
      <c r="G26" s="256"/>
      <c r="H26" s="224"/>
      <c r="I26" s="224"/>
      <c r="J26" s="224"/>
      <c r="K26" s="224"/>
      <c r="M26" s="242">
        <f t="shared" si="0"/>
        <v>0</v>
      </c>
    </row>
    <row r="27" spans="1:15">
      <c r="A27" s="234">
        <f t="shared" si="1"/>
        <v>20</v>
      </c>
      <c r="B27" s="224" t="s">
        <v>255</v>
      </c>
      <c r="C27" s="236" t="s">
        <v>79</v>
      </c>
      <c r="D27" s="257">
        <f>SUM('Exh. JAP-39 (Prof-Prop)'!J42)</f>
        <v>77972.349305999989</v>
      </c>
      <c r="E27" s="238">
        <f>SUM('Exh. JAP-39 (Prof-Prop)'!L42)</f>
        <v>17167.097000000002</v>
      </c>
      <c r="F27" s="224"/>
      <c r="G27" s="239">
        <f>E27/(E$33-E$21-E$31-$E$25)</f>
        <v>8.998201865730842E-3</v>
      </c>
      <c r="H27" s="240">
        <v>1</v>
      </c>
      <c r="I27" s="241">
        <f>+$I$39*H27</f>
        <v>8.163482352212946E-2</v>
      </c>
      <c r="J27" s="238">
        <f>+E27*I27</f>
        <v>1401.4329339822782</v>
      </c>
      <c r="K27" s="238">
        <f>+E27+J27</f>
        <v>18568.529933982281</v>
      </c>
      <c r="M27" s="242">
        <f t="shared" si="0"/>
        <v>1401432.9339822782</v>
      </c>
      <c r="N27" s="242"/>
      <c r="O27" s="242"/>
    </row>
    <row r="28" spans="1:15">
      <c r="A28" s="234">
        <f t="shared" si="1"/>
        <v>21</v>
      </c>
      <c r="B28" s="224"/>
      <c r="C28" s="236"/>
      <c r="D28" s="259"/>
      <c r="E28" s="255"/>
      <c r="F28" s="224"/>
      <c r="G28" s="255"/>
      <c r="H28" s="224"/>
      <c r="I28" s="224"/>
      <c r="J28" s="224"/>
      <c r="K28" s="224"/>
      <c r="M28" s="242">
        <f t="shared" si="0"/>
        <v>0</v>
      </c>
    </row>
    <row r="29" spans="1:15" ht="13.5" thickBot="1">
      <c r="A29" s="234">
        <f t="shared" si="1"/>
        <v>22</v>
      </c>
      <c r="B29" s="250" t="s">
        <v>256</v>
      </c>
      <c r="C29" s="236"/>
      <c r="D29" s="260">
        <f>SUM(D27,D25,D21,D23,D19,D14,D8)</f>
        <v>22814379.536351249</v>
      </c>
      <c r="E29" s="261">
        <f>SUM(E27,E25,E21,E23,E19,E14,E8)</f>
        <v>1963186.316129941</v>
      </c>
      <c r="F29" s="224"/>
      <c r="G29" s="224"/>
      <c r="H29" s="224"/>
      <c r="I29" s="241">
        <f>((J29)/E29)</f>
        <v>7.3160108044729014E-2</v>
      </c>
      <c r="J29" s="261">
        <f>SUM(J27,J25,J21,J23,J19,J14,J8)</f>
        <v>143626.92300000001</v>
      </c>
      <c r="K29" s="261">
        <f>SUM(K27,K25,K21,K23,K19,K14,K8)</f>
        <v>2106813.239129941</v>
      </c>
      <c r="M29" s="242">
        <f t="shared" si="0"/>
        <v>143626923</v>
      </c>
    </row>
    <row r="30" spans="1:15" ht="13.5" thickTop="1">
      <c r="A30" s="234">
        <f t="shared" si="1"/>
        <v>23</v>
      </c>
      <c r="B30" s="224"/>
      <c r="C30" s="236"/>
      <c r="D30" s="254"/>
      <c r="E30" s="255"/>
      <c r="F30" s="224"/>
      <c r="G30" s="256"/>
      <c r="H30" s="224"/>
      <c r="I30" s="224"/>
      <c r="J30" s="258"/>
      <c r="K30" s="258"/>
      <c r="M30" s="242">
        <f t="shared" si="0"/>
        <v>0</v>
      </c>
    </row>
    <row r="31" spans="1:15">
      <c r="A31" s="234">
        <f t="shared" si="1"/>
        <v>24</v>
      </c>
      <c r="B31" s="250" t="s">
        <v>257</v>
      </c>
      <c r="C31" s="247"/>
      <c r="D31" s="257">
        <f>SUM('Exh. JAP-39 (Prof-Prop)'!J46)</f>
        <v>6929.8034221808284</v>
      </c>
      <c r="E31" s="238">
        <f>SUM('Exh. JAP-39 (Prof-Prop)'!L46)</f>
        <v>316.39299999999997</v>
      </c>
      <c r="F31" s="224"/>
      <c r="G31" s="239"/>
      <c r="H31" s="241"/>
      <c r="I31" s="241">
        <f>((J31)/E31)</f>
        <v>1.2805055737642741</v>
      </c>
      <c r="J31" s="238">
        <f>405143/1000</f>
        <v>405.14299999999997</v>
      </c>
      <c r="K31" s="238">
        <f>+E31+J31</f>
        <v>721.53599999999994</v>
      </c>
      <c r="M31" s="242">
        <f t="shared" si="0"/>
        <v>405143</v>
      </c>
    </row>
    <row r="32" spans="1:15">
      <c r="A32" s="234">
        <f t="shared" si="1"/>
        <v>25</v>
      </c>
      <c r="B32" s="224"/>
      <c r="C32" s="236"/>
      <c r="D32" s="259"/>
      <c r="E32" s="255"/>
      <c r="F32" s="224"/>
      <c r="G32" s="255"/>
      <c r="H32" s="224"/>
      <c r="I32" s="224"/>
      <c r="J32" s="224"/>
      <c r="K32" s="224"/>
      <c r="M32" s="242">
        <f t="shared" si="0"/>
        <v>0</v>
      </c>
    </row>
    <row r="33" spans="1:13" ht="13.5" thickBot="1">
      <c r="A33" s="234">
        <f t="shared" si="1"/>
        <v>26</v>
      </c>
      <c r="B33" s="224" t="s">
        <v>258</v>
      </c>
      <c r="C33" s="236"/>
      <c r="D33" s="260">
        <f>SUM(D31,D29)</f>
        <v>22821309.339773428</v>
      </c>
      <c r="E33" s="261">
        <f>SUM(E31,E29)</f>
        <v>1963502.709129941</v>
      </c>
      <c r="F33" s="261">
        <v>144032066</v>
      </c>
      <c r="G33" s="262">
        <f>SUM(G8:G31)</f>
        <v>1</v>
      </c>
      <c r="H33" s="224"/>
      <c r="I33" s="262">
        <f>(+F33/1000)/E33</f>
        <v>7.3354656110366595E-2</v>
      </c>
      <c r="J33" s="261">
        <f>SUM(J31,J29)</f>
        <v>144032.06600000002</v>
      </c>
      <c r="K33" s="261">
        <f>SUM(K31,K29)</f>
        <v>2107534.7751299408</v>
      </c>
      <c r="M33" s="242">
        <f t="shared" si="0"/>
        <v>144032066.00000003</v>
      </c>
    </row>
    <row r="34" spans="1:13" ht="13.5" thickTop="1">
      <c r="A34" s="234">
        <f t="shared" si="1"/>
        <v>27</v>
      </c>
      <c r="B34" s="224"/>
      <c r="C34" s="236"/>
      <c r="D34" s="243"/>
      <c r="E34" s="244"/>
      <c r="F34" s="244"/>
      <c r="G34" s="33"/>
      <c r="H34" s="244"/>
      <c r="I34" s="33"/>
      <c r="J34" s="263"/>
      <c r="K34" s="244"/>
    </row>
    <row r="35" spans="1:13" ht="13.5" thickBot="1">
      <c r="A35" s="234">
        <f t="shared" si="1"/>
        <v>28</v>
      </c>
      <c r="B35" s="224"/>
      <c r="C35" s="236"/>
      <c r="D35" s="236"/>
      <c r="E35" s="224"/>
      <c r="F35" s="224"/>
      <c r="G35" s="224"/>
      <c r="H35" s="224"/>
      <c r="I35" s="224"/>
      <c r="J35" s="264"/>
      <c r="K35" s="264"/>
    </row>
    <row r="36" spans="1:13">
      <c r="A36" s="234">
        <f t="shared" si="1"/>
        <v>29</v>
      </c>
      <c r="B36" s="288" t="s">
        <v>259</v>
      </c>
      <c r="C36" s="289"/>
      <c r="D36" s="289"/>
      <c r="E36" s="289"/>
      <c r="F36" s="265">
        <v>1</v>
      </c>
      <c r="G36" s="266"/>
      <c r="H36" s="265"/>
      <c r="I36" s="267">
        <f>(F33)/(E33*1000)</f>
        <v>7.3354656110366595E-2</v>
      </c>
      <c r="J36" s="224"/>
      <c r="K36" s="224"/>
    </row>
    <row r="37" spans="1:13">
      <c r="A37" s="234">
        <f t="shared" si="1"/>
        <v>30</v>
      </c>
      <c r="B37" s="290" t="s">
        <v>260</v>
      </c>
      <c r="C37" s="291"/>
      <c r="D37" s="291"/>
      <c r="E37" s="291"/>
      <c r="F37" s="258"/>
      <c r="G37" s="258"/>
      <c r="H37" s="258"/>
      <c r="I37" s="268">
        <f>((F33/1000)-(J21)-(J25)-(J31))/(E33-E21-E25-E31)</f>
        <v>7.2930379411849725E-2</v>
      </c>
      <c r="J37" s="224"/>
      <c r="K37" s="264"/>
    </row>
    <row r="38" spans="1:13">
      <c r="A38" s="234">
        <f t="shared" si="1"/>
        <v>31</v>
      </c>
      <c r="B38" s="292" t="s">
        <v>261</v>
      </c>
      <c r="C38" s="293"/>
      <c r="D38" s="293"/>
      <c r="E38" s="293"/>
      <c r="F38" s="258"/>
      <c r="G38" s="258"/>
      <c r="H38" s="258"/>
      <c r="I38" s="269">
        <f>1/SUMPRODUCT($H$8:$H$31,$G$8:$G$31)</f>
        <v>1.1193527879667857</v>
      </c>
      <c r="J38" s="224"/>
      <c r="K38" s="264"/>
    </row>
    <row r="39" spans="1:13" ht="13.5" thickBot="1">
      <c r="A39" s="234">
        <f t="shared" si="1"/>
        <v>32</v>
      </c>
      <c r="B39" s="284" t="s">
        <v>262</v>
      </c>
      <c r="C39" s="285"/>
      <c r="D39" s="285"/>
      <c r="E39" s="285"/>
      <c r="F39" s="270"/>
      <c r="G39" s="271"/>
      <c r="H39" s="271"/>
      <c r="I39" s="272">
        <f>I38*I37</f>
        <v>8.163482352212946E-2</v>
      </c>
      <c r="J39" s="224"/>
      <c r="K39" s="264"/>
    </row>
    <row r="40" spans="1:13">
      <c r="A40" s="224"/>
      <c r="B40" s="273"/>
      <c r="C40" s="273"/>
      <c r="D40" s="273"/>
      <c r="E40" s="273"/>
      <c r="F40" s="273"/>
      <c r="G40" s="273"/>
      <c r="H40" s="224"/>
      <c r="I40" s="224"/>
      <c r="J40" s="224"/>
      <c r="K40" s="224"/>
    </row>
  </sheetData>
  <mergeCells count="7">
    <mergeCell ref="B39:E39"/>
    <mergeCell ref="A1:K1"/>
    <mergeCell ref="A3:K3"/>
    <mergeCell ref="B36:E36"/>
    <mergeCell ref="B37:E37"/>
    <mergeCell ref="B38:E38"/>
    <mergeCell ref="A2:K2"/>
  </mergeCells>
  <printOptions horizontalCentered="1"/>
  <pageMargins left="0.7" right="0.7" top="0.75" bottom="0.71" header="0.3" footer="0.3"/>
  <pageSetup scale="92" orientation="landscape" r:id="rId1"/>
  <headerFooter alignWithMargins="0">
    <oddFooter>&amp;RExhibit No.___(JAP-39)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6">
    <pageSetUpPr fitToPage="1"/>
  </sheetPr>
  <dimension ref="B1:Y59"/>
  <sheetViews>
    <sheetView view="pageBreakPreview" zoomScale="70" zoomScaleNormal="100" zoomScaleSheetLayoutView="70" workbookViewId="0">
      <pane xSplit="7" ySplit="14" topLeftCell="H15" activePane="bottomRight" state="frozen"/>
      <selection sqref="A1:XFD1048576"/>
      <selection pane="topRight" sqref="A1:XFD1048576"/>
      <selection pane="bottomLeft" sqref="A1:XFD1048576"/>
      <selection pane="bottomRight" activeCell="J17" sqref="J17"/>
    </sheetView>
  </sheetViews>
  <sheetFormatPr defaultColWidth="10.25" defaultRowHeight="15.75"/>
  <cols>
    <col min="1" max="1" width="0" style="178" hidden="1" customWidth="1"/>
    <col min="2" max="2" width="4.625" style="178" customWidth="1"/>
    <col min="3" max="3" width="2.125" style="178" customWidth="1"/>
    <col min="4" max="4" width="35.875" style="178" customWidth="1"/>
    <col min="5" max="5" width="2.125" style="178" customWidth="1"/>
    <col min="6" max="6" width="11" style="178" bestFit="1" customWidth="1"/>
    <col min="7" max="7" width="2.125" style="178" customWidth="1"/>
    <col min="8" max="8" width="11.75" style="178" bestFit="1" customWidth="1"/>
    <col min="9" max="9" width="2" style="178" customWidth="1"/>
    <col min="10" max="10" width="13.875" style="178" bestFit="1" customWidth="1"/>
    <col min="11" max="11" width="2.875" style="178" customWidth="1"/>
    <col min="12" max="12" width="14" style="178" bestFit="1" customWidth="1"/>
    <col min="13" max="13" width="2.75" style="178" customWidth="1"/>
    <col min="14" max="14" width="12.375" style="178" bestFit="1" customWidth="1"/>
    <col min="15" max="15" width="2.625" style="178" customWidth="1"/>
    <col min="16" max="16" width="10.75" style="178" customWidth="1"/>
    <col min="17" max="17" width="9.25" style="178" bestFit="1" customWidth="1"/>
    <col min="18" max="18" width="1.875" style="178" customWidth="1"/>
    <col min="19" max="19" width="11.75" style="178" bestFit="1" customWidth="1"/>
    <col min="20" max="20" width="6.125" style="178" bestFit="1" customWidth="1"/>
    <col min="21" max="21" width="8.75" style="178" bestFit="1" customWidth="1"/>
    <col min="22" max="22" width="12" style="178" customWidth="1"/>
    <col min="23" max="23" width="10.25" style="178"/>
    <col min="24" max="24" width="11.125" style="178" bestFit="1" customWidth="1"/>
    <col min="25" max="16384" width="10.25" style="178"/>
  </cols>
  <sheetData>
    <row r="1" spans="2:22" ht="18.75">
      <c r="C1" s="179"/>
      <c r="D1" s="179"/>
      <c r="N1" s="178" t="s">
        <v>0</v>
      </c>
    </row>
    <row r="2" spans="2:22">
      <c r="B2" s="335" t="s">
        <v>1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6"/>
    </row>
    <row r="3" spans="2:22">
      <c r="B3" s="337" t="s">
        <v>54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8"/>
      <c r="T3" s="338"/>
    </row>
    <row r="4" spans="2:22">
      <c r="B4" s="337" t="s">
        <v>2</v>
      </c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8"/>
      <c r="T4" s="338"/>
    </row>
    <row r="5" spans="2:22">
      <c r="B5" s="335" t="s">
        <v>103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8"/>
      <c r="T5" s="338"/>
    </row>
    <row r="6" spans="2:22">
      <c r="B6" s="335" t="s">
        <v>354</v>
      </c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8"/>
      <c r="T6" s="338"/>
    </row>
    <row r="7" spans="2:22"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6"/>
      <c r="T7" s="336"/>
    </row>
    <row r="8" spans="2:22"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6"/>
      <c r="S8" s="336"/>
      <c r="T8" s="336"/>
    </row>
    <row r="9" spans="2:22">
      <c r="K9" s="180"/>
      <c r="L9" s="340"/>
      <c r="M9" s="341"/>
      <c r="N9" s="296" t="s">
        <v>353</v>
      </c>
      <c r="O9" s="297"/>
      <c r="P9" s="297"/>
      <c r="Q9" s="298"/>
      <c r="R9" s="341"/>
      <c r="S9" s="342"/>
      <c r="T9" s="341"/>
    </row>
    <row r="10" spans="2:22">
      <c r="L10" s="181" t="s">
        <v>3</v>
      </c>
      <c r="M10" s="182"/>
      <c r="N10" s="299" t="s">
        <v>4</v>
      </c>
      <c r="O10" s="300"/>
      <c r="P10" s="300"/>
      <c r="Q10" s="301"/>
      <c r="R10" s="182"/>
      <c r="S10" s="183"/>
      <c r="T10" s="182"/>
    </row>
    <row r="11" spans="2:22">
      <c r="F11" s="184" t="s">
        <v>207</v>
      </c>
      <c r="G11" s="181"/>
      <c r="L11" s="183" t="s">
        <v>5</v>
      </c>
      <c r="M11" s="185"/>
      <c r="N11" s="183" t="s">
        <v>5</v>
      </c>
      <c r="O11" s="183"/>
      <c r="P11" s="186" t="s">
        <v>0</v>
      </c>
      <c r="Q11" s="186"/>
      <c r="R11" s="186"/>
      <c r="S11" s="183" t="s">
        <v>4</v>
      </c>
      <c r="T11" s="181"/>
      <c r="U11" s="294" t="s">
        <v>268</v>
      </c>
      <c r="V11" s="295" t="s">
        <v>39</v>
      </c>
    </row>
    <row r="12" spans="2:22">
      <c r="B12" s="181" t="s">
        <v>6</v>
      </c>
      <c r="F12" s="181" t="s">
        <v>7</v>
      </c>
      <c r="G12" s="181"/>
      <c r="H12" s="181" t="s">
        <v>8</v>
      </c>
      <c r="L12" s="181" t="s">
        <v>9</v>
      </c>
      <c r="M12" s="181"/>
      <c r="N12" s="187" t="s">
        <v>9</v>
      </c>
      <c r="O12" s="181"/>
      <c r="P12" s="184" t="s">
        <v>10</v>
      </c>
      <c r="Q12" s="181" t="s">
        <v>5</v>
      </c>
      <c r="R12" s="181"/>
      <c r="S12" s="181" t="s">
        <v>11</v>
      </c>
      <c r="T12" s="183"/>
      <c r="U12" s="295"/>
      <c r="V12" s="295"/>
    </row>
    <row r="13" spans="2:22">
      <c r="B13" s="188" t="s">
        <v>12</v>
      </c>
      <c r="D13" s="188" t="s">
        <v>13</v>
      </c>
      <c r="F13" s="188" t="s">
        <v>12</v>
      </c>
      <c r="G13" s="183"/>
      <c r="H13" s="275" t="s">
        <v>14</v>
      </c>
      <c r="J13" s="275" t="s">
        <v>15</v>
      </c>
      <c r="L13" s="189" t="s">
        <v>16</v>
      </c>
      <c r="M13" s="183"/>
      <c r="N13" s="190" t="s">
        <v>16</v>
      </c>
      <c r="O13" s="191"/>
      <c r="P13" s="192" t="s">
        <v>16</v>
      </c>
      <c r="Q13" s="275" t="s">
        <v>17</v>
      </c>
      <c r="R13" s="183"/>
      <c r="S13" s="189" t="s">
        <v>18</v>
      </c>
      <c r="T13" s="183"/>
      <c r="U13" s="295"/>
      <c r="V13" s="295"/>
    </row>
    <row r="14" spans="2:22">
      <c r="B14" s="193"/>
      <c r="D14" s="184" t="s">
        <v>19</v>
      </c>
      <c r="F14" s="184" t="s">
        <v>20</v>
      </c>
      <c r="G14" s="181"/>
      <c r="H14" s="184" t="s">
        <v>21</v>
      </c>
      <c r="J14" s="184" t="s">
        <v>22</v>
      </c>
      <c r="L14" s="184" t="s">
        <v>23</v>
      </c>
      <c r="M14" s="184"/>
      <c r="N14" s="184" t="s">
        <v>24</v>
      </c>
      <c r="O14" s="184"/>
      <c r="P14" s="184" t="s">
        <v>25</v>
      </c>
      <c r="Q14" s="184" t="s">
        <v>26</v>
      </c>
      <c r="R14" s="184"/>
      <c r="S14" s="184" t="s">
        <v>27</v>
      </c>
      <c r="T14" s="185"/>
    </row>
    <row r="15" spans="2:22">
      <c r="M15" s="184"/>
      <c r="N15" s="184" t="s">
        <v>0</v>
      </c>
      <c r="P15" s="184" t="s">
        <v>75</v>
      </c>
      <c r="Q15" s="184" t="s">
        <v>28</v>
      </c>
      <c r="S15" s="184" t="s">
        <v>29</v>
      </c>
      <c r="T15" s="180"/>
    </row>
    <row r="16" spans="2:22">
      <c r="D16" s="343" t="s">
        <v>30</v>
      </c>
      <c r="T16" s="180"/>
    </row>
    <row r="17" spans="2:25">
      <c r="B17" s="181">
        <v>1</v>
      </c>
      <c r="D17" s="178" t="s">
        <v>30</v>
      </c>
      <c r="F17" s="184">
        <v>7</v>
      </c>
      <c r="G17" s="184"/>
      <c r="H17" s="194">
        <f>ROUND('Exh. JAP-39 (Res RD)'!C31/12,0)</f>
        <v>999942</v>
      </c>
      <c r="J17" s="194">
        <f>ROUND('Exh. JAP-39 (Res RD)'!C40/1000,0)</f>
        <v>10442426</v>
      </c>
      <c r="L17" s="195">
        <f>ROUND('Exh. JAP-39 (Res RD)'!F23/1000,0)</f>
        <v>1066627</v>
      </c>
      <c r="M17" s="196"/>
      <c r="N17" s="195">
        <f>ROUND('Exh. JAP-39 (Res RD)'!I23/1000,0)</f>
        <v>1153702</v>
      </c>
      <c r="O17" s="195"/>
      <c r="P17" s="195">
        <f>N17-L17</f>
        <v>87075</v>
      </c>
      <c r="Q17" s="197">
        <f>P17/L17</f>
        <v>8.1635848333109884E-2</v>
      </c>
      <c r="R17" s="197"/>
      <c r="S17" s="198">
        <f>N17/J17*100</f>
        <v>11.048218105639435</v>
      </c>
      <c r="T17" s="199"/>
      <c r="U17" s="195"/>
      <c r="V17" s="195"/>
    </row>
    <row r="18" spans="2:25">
      <c r="B18" s="200">
        <f>MAX(B$14:B17)+1</f>
        <v>2</v>
      </c>
      <c r="D18" s="344" t="s">
        <v>72</v>
      </c>
      <c r="H18" s="201">
        <f>SUM(H17:H17)</f>
        <v>999942</v>
      </c>
      <c r="J18" s="201">
        <f>SUM(J17:J17)</f>
        <v>10442426</v>
      </c>
      <c r="L18" s="202">
        <f>SUM(L17:L17)</f>
        <v>1066627</v>
      </c>
      <c r="M18" s="196"/>
      <c r="N18" s="202">
        <f>SUM(N17:N17)</f>
        <v>1153702</v>
      </c>
      <c r="O18" s="195"/>
      <c r="P18" s="202">
        <f>SUM(P17)</f>
        <v>87075</v>
      </c>
      <c r="Q18" s="203">
        <f>P18/L18</f>
        <v>8.1635848333109884E-2</v>
      </c>
      <c r="R18" s="197"/>
      <c r="S18" s="204">
        <f>N18/J18*100</f>
        <v>11.048218105639435</v>
      </c>
      <c r="T18" s="199"/>
      <c r="U18" s="202">
        <f>'Exh. JAP-39 (Rate Spread)'!J8</f>
        <v>87073.906908938385</v>
      </c>
      <c r="V18" s="202">
        <f>U18-P18</f>
        <v>-1.0930910616152687</v>
      </c>
      <c r="Y18" s="205"/>
    </row>
    <row r="19" spans="2:25">
      <c r="J19" s="178" t="s">
        <v>0</v>
      </c>
      <c r="L19" s="205"/>
      <c r="M19" s="205"/>
      <c r="N19" s="205"/>
      <c r="O19" s="205"/>
      <c r="P19" s="205"/>
      <c r="Q19" s="206"/>
      <c r="T19" s="180"/>
      <c r="U19" s="205"/>
      <c r="V19" s="205"/>
    </row>
    <row r="20" spans="2:25">
      <c r="D20" s="345" t="s">
        <v>65</v>
      </c>
      <c r="H20" s="207"/>
      <c r="L20" s="205"/>
      <c r="M20" s="205"/>
      <c r="N20" s="205"/>
      <c r="O20" s="205"/>
      <c r="P20" s="205"/>
      <c r="Q20" s="206"/>
      <c r="T20" s="180"/>
      <c r="U20" s="205"/>
      <c r="V20" s="205"/>
    </row>
    <row r="21" spans="2:25">
      <c r="B21" s="200">
        <f>MAX(B$14:B20)+1</f>
        <v>3</v>
      </c>
      <c r="D21" s="276" t="s">
        <v>56</v>
      </c>
      <c r="F21" s="184" t="s">
        <v>68</v>
      </c>
      <c r="G21" s="181"/>
      <c r="H21" s="194">
        <f>'Exh. JAP-39 (SV RD)'!C17/12</f>
        <v>126826.25</v>
      </c>
      <c r="J21" s="194">
        <f>ROUND('Exh. JAP-39 (SV RD)'!C25/1000,0)</f>
        <v>2787459</v>
      </c>
      <c r="L21" s="195">
        <f>ROUND('Exh. JAP-39 (SV RD)'!F25/1000,0)</f>
        <v>266944</v>
      </c>
      <c r="M21" s="196"/>
      <c r="N21" s="195">
        <f>ROUND('Exh. JAP-39 (SV RD)'!I25/1000,0)</f>
        <v>283287</v>
      </c>
      <c r="O21" s="195"/>
      <c r="P21" s="195">
        <f t="shared" ref="P21:P24" si="0">N21-L21</f>
        <v>16343</v>
      </c>
      <c r="Q21" s="197">
        <f>P21/L21</f>
        <v>6.1222578518340925E-2</v>
      </c>
      <c r="R21" s="197"/>
      <c r="S21" s="198">
        <f>N21/J21*100</f>
        <v>10.16291181323205</v>
      </c>
      <c r="T21" s="199"/>
      <c r="U21" s="195"/>
      <c r="V21" s="195"/>
      <c r="Y21" s="205"/>
    </row>
    <row r="22" spans="2:25">
      <c r="B22" s="200">
        <f>MAX(B$14:B21)+1</f>
        <v>4</v>
      </c>
      <c r="D22" s="276" t="s">
        <v>55</v>
      </c>
      <c r="E22" s="208"/>
      <c r="F22" s="184" t="s">
        <v>69</v>
      </c>
      <c r="G22" s="181"/>
      <c r="H22" s="194">
        <f>'Exh. JAP-39 (SV RD)'!C31/12</f>
        <v>7209</v>
      </c>
      <c r="J22" s="194">
        <f>ROUND('Exh. JAP-39 (SV RD)'!C39/1000,0)</f>
        <v>2830899</v>
      </c>
      <c r="L22" s="195">
        <f>ROUND('Exh. JAP-39 (SV RD)'!F47/1000,0)</f>
        <v>251785</v>
      </c>
      <c r="M22" s="196"/>
      <c r="N22" s="195">
        <f>ROUND('Exh. JAP-39 (SV RD)'!I47/1000,0)</f>
        <v>267200</v>
      </c>
      <c r="O22" s="195"/>
      <c r="P22" s="195">
        <f t="shared" si="0"/>
        <v>15415</v>
      </c>
      <c r="Q22" s="197">
        <f>P22/L22</f>
        <v>6.1222868717358062E-2</v>
      </c>
      <c r="R22" s="197"/>
      <c r="S22" s="198">
        <f>N22/J22*100</f>
        <v>9.4386977423073013</v>
      </c>
      <c r="T22" s="199"/>
      <c r="U22" s="195"/>
      <c r="V22" s="195"/>
      <c r="Y22" s="205"/>
    </row>
    <row r="23" spans="2:25">
      <c r="B23" s="200">
        <f>MAX(B$14:B22)+1</f>
        <v>5</v>
      </c>
      <c r="D23" s="276" t="s">
        <v>57</v>
      </c>
      <c r="F23" s="184" t="s">
        <v>70</v>
      </c>
      <c r="G23" s="181"/>
      <c r="H23" s="194">
        <f>SUM('Exh. JAP-39 (SV RD)'!C55,'Exh. JAP-39 (SV RD)'!C75)</f>
        <v>9638</v>
      </c>
      <c r="J23" s="194">
        <f>SUM('Exh. JAP-39 (SV RD)'!C61,'Exh. JAP-39 (SV RD)'!C84)/1000</f>
        <v>1867681.9043816456</v>
      </c>
      <c r="L23" s="195">
        <f>SUM('Exh. JAP-39 (SV RD)'!F69,'Exh. JAP-39 (SV RD)'!F95)/1000</f>
        <v>151834.74299999999</v>
      </c>
      <c r="M23" s="196"/>
      <c r="N23" s="195">
        <f>SUM('Exh. JAP-39 (SV RD)'!I69,'Exh. JAP-39 (SV RD)'!I95)/1000</f>
        <v>161131.63</v>
      </c>
      <c r="O23" s="195"/>
      <c r="P23" s="195">
        <f t="shared" si="0"/>
        <v>9296.887000000017</v>
      </c>
      <c r="Q23" s="197">
        <f t="shared" ref="Q23:Q31" si="1">P23/L23</f>
        <v>6.1230300893649996E-2</v>
      </c>
      <c r="R23" s="197"/>
      <c r="S23" s="198">
        <f>N23/J23*100</f>
        <v>8.6273593818079881</v>
      </c>
      <c r="T23" s="199"/>
      <c r="U23" s="195"/>
      <c r="V23" s="195"/>
      <c r="Y23" s="205"/>
    </row>
    <row r="24" spans="2:25">
      <c r="B24" s="200">
        <f>MAX(B$14:B23)+1</f>
        <v>6</v>
      </c>
      <c r="D24" s="276" t="s">
        <v>59</v>
      </c>
      <c r="F24" s="181">
        <v>29</v>
      </c>
      <c r="G24" s="181"/>
      <c r="H24" s="194">
        <f>'Exh. JAP-39 (SV RD)'!C108/12</f>
        <v>607.5</v>
      </c>
      <c r="J24" s="194">
        <f>ROUND('Exh. JAP-39 (SV RD)'!C118/1000,0)</f>
        <v>14327</v>
      </c>
      <c r="L24" s="195">
        <f>SUM('Exh. JAP-39 (SV RD)'!F126/1000)</f>
        <v>1137.7460000000001</v>
      </c>
      <c r="M24" s="196"/>
      <c r="N24" s="195">
        <f>SUM('Exh. JAP-39 (SV RD)'!I126/1000)</f>
        <v>1207.45</v>
      </c>
      <c r="O24" s="195"/>
      <c r="P24" s="195">
        <f t="shared" si="0"/>
        <v>69.703999999999951</v>
      </c>
      <c r="Q24" s="197">
        <f t="shared" si="1"/>
        <v>6.1264992362091313E-2</v>
      </c>
      <c r="R24" s="197"/>
      <c r="S24" s="198">
        <f>N24/J24*100</f>
        <v>8.427793676275563</v>
      </c>
      <c r="T24" s="199"/>
      <c r="U24" s="195"/>
      <c r="V24" s="195"/>
      <c r="Y24" s="205"/>
    </row>
    <row r="25" spans="2:25">
      <c r="B25" s="200">
        <f>MAX(B$14:B24)+1</f>
        <v>7</v>
      </c>
      <c r="D25" s="344" t="s">
        <v>73</v>
      </c>
      <c r="F25" s="181"/>
      <c r="G25" s="181"/>
      <c r="H25" s="201">
        <f>SUM(H21:H24)</f>
        <v>144280.75</v>
      </c>
      <c r="J25" s="201">
        <f>SUM(J21:J24)</f>
        <v>7500366.9043816458</v>
      </c>
      <c r="L25" s="202">
        <f>SUM(L21:L24)</f>
        <v>671701.48900000006</v>
      </c>
      <c r="M25" s="196"/>
      <c r="N25" s="202">
        <f>SUM(N21:N24)</f>
        <v>712826.08</v>
      </c>
      <c r="O25" s="195"/>
      <c r="P25" s="202">
        <f>SUM(P21:P24)</f>
        <v>41124.591000000015</v>
      </c>
      <c r="Q25" s="203">
        <f t="shared" ref="Q25" si="2">P25/L25</f>
        <v>6.1224504744249585E-2</v>
      </c>
      <c r="R25" s="197"/>
      <c r="S25" s="204">
        <f>N25/J25*100</f>
        <v>9.5038827978345086</v>
      </c>
      <c r="T25" s="199"/>
      <c r="U25" s="202">
        <f>'Exh. JAP-39 (Rate Spread)'!J14</f>
        <v>41125.674385549937</v>
      </c>
      <c r="V25" s="202">
        <f>U25-P25</f>
        <v>1.0833855499222409</v>
      </c>
      <c r="Y25" s="205"/>
    </row>
    <row r="26" spans="2:25">
      <c r="B26" s="200"/>
      <c r="D26" s="276"/>
      <c r="F26" s="181"/>
      <c r="G26" s="181"/>
      <c r="H26" s="194"/>
      <c r="J26" s="194"/>
      <c r="L26" s="195"/>
      <c r="M26" s="196"/>
      <c r="N26" s="195"/>
      <c r="O26" s="195"/>
      <c r="P26" s="195"/>
      <c r="Q26" s="197"/>
      <c r="R26" s="197"/>
      <c r="S26" s="198"/>
      <c r="T26" s="199"/>
      <c r="U26" s="195"/>
      <c r="V26" s="195"/>
    </row>
    <row r="27" spans="2:25">
      <c r="B27" s="200"/>
      <c r="D27" s="345" t="s">
        <v>66</v>
      </c>
      <c r="F27" s="181"/>
      <c r="G27" s="181"/>
      <c r="H27" s="194"/>
      <c r="J27" s="194"/>
      <c r="L27" s="195"/>
      <c r="M27" s="196"/>
      <c r="N27" s="195"/>
      <c r="O27" s="195"/>
      <c r="P27" s="195"/>
      <c r="Q27" s="197"/>
      <c r="R27" s="197"/>
      <c r="S27" s="198"/>
      <c r="T27" s="199"/>
      <c r="U27" s="195"/>
      <c r="V27" s="195"/>
    </row>
    <row r="28" spans="2:25">
      <c r="B28" s="200">
        <f>MAX(B$14:B26)+1</f>
        <v>8</v>
      </c>
      <c r="D28" s="276" t="s">
        <v>58</v>
      </c>
      <c r="F28" s="184" t="s">
        <v>71</v>
      </c>
      <c r="G28" s="181"/>
      <c r="H28" s="194">
        <f>'Exh. JAP-39 (PV RD)'!C15/12</f>
        <v>486.83333333333331</v>
      </c>
      <c r="J28" s="194">
        <f>'Exh. JAP-39 (PV RD)'!C21/1000</f>
        <v>1264534.3744586967</v>
      </c>
      <c r="L28" s="195">
        <f>'Exh. JAP-39 (PV RD)'!F29/1000</f>
        <v>101394.679</v>
      </c>
      <c r="M28" s="196"/>
      <c r="N28" s="195">
        <f>'Exh. JAP-39 (PV RD)'!I29/1000</f>
        <v>107603.00199999999</v>
      </c>
      <c r="O28" s="195"/>
      <c r="P28" s="195">
        <f t="shared" ref="P28:P30" si="3">N28-L28</f>
        <v>6208.3229999999894</v>
      </c>
      <c r="Q28" s="197">
        <f t="shared" si="1"/>
        <v>6.1229278116260805E-2</v>
      </c>
      <c r="R28" s="197"/>
      <c r="S28" s="198">
        <f>N28/J28*100</f>
        <v>8.5092982977280567</v>
      </c>
      <c r="T28" s="199"/>
      <c r="U28" s="195"/>
      <c r="V28" s="195"/>
      <c r="Y28" s="205"/>
    </row>
    <row r="29" spans="2:25">
      <c r="B29" s="200">
        <f>MAX(B$14:B28)+1</f>
        <v>9</v>
      </c>
      <c r="D29" s="276" t="s">
        <v>60</v>
      </c>
      <c r="F29" s="181">
        <v>35</v>
      </c>
      <c r="G29" s="181"/>
      <c r="H29" s="194">
        <f>'Exh. JAP-39 (PV RD)'!C37/12</f>
        <v>1</v>
      </c>
      <c r="J29" s="194">
        <f>'Exh. JAP-39 (PV RD)'!C43/1000</f>
        <v>4452.6000000000004</v>
      </c>
      <c r="L29" s="195">
        <f>'Exh. JAP-39 (PV RD)'!F51/1000</f>
        <v>248.215</v>
      </c>
      <c r="M29" s="196"/>
      <c r="N29" s="195">
        <f>'Exh. JAP-39 (PV RD)'!I51/1000</f>
        <v>263.39400000000001</v>
      </c>
      <c r="O29" s="195"/>
      <c r="P29" s="195">
        <f t="shared" si="3"/>
        <v>15.179000000000002</v>
      </c>
      <c r="Q29" s="197">
        <f t="shared" si="1"/>
        <v>6.1152629776604968E-2</v>
      </c>
      <c r="R29" s="197"/>
      <c r="S29" s="198">
        <f>N29/J29*100</f>
        <v>5.9155100390782911</v>
      </c>
      <c r="T29" s="199"/>
      <c r="U29" s="195"/>
      <c r="V29" s="195"/>
      <c r="Y29" s="205"/>
    </row>
    <row r="30" spans="2:25">
      <c r="B30" s="200">
        <f>MAX(B$14:B29)+1</f>
        <v>10</v>
      </c>
      <c r="D30" s="178" t="s">
        <v>61</v>
      </c>
      <c r="F30" s="184">
        <v>43</v>
      </c>
      <c r="G30" s="181"/>
      <c r="H30" s="194">
        <f>'Exh. JAP-39 (PV RD)'!C56/12</f>
        <v>158.66666666666666</v>
      </c>
      <c r="J30" s="194">
        <f>'Exh. JAP-39 (PV RD)'!C62/1000</f>
        <v>119660.40146477679</v>
      </c>
      <c r="L30" s="195">
        <f>'Exh. JAP-39 (PV RD)'!F71/1000</f>
        <v>10337.824000000001</v>
      </c>
      <c r="M30" s="196"/>
      <c r="N30" s="195">
        <f>'Exh. JAP-39 (PV RD)'!I71/1000</f>
        <v>11181.757</v>
      </c>
      <c r="O30" s="195"/>
      <c r="P30" s="195">
        <f t="shared" si="3"/>
        <v>843.93299999999908</v>
      </c>
      <c r="Q30" s="197">
        <f t="shared" si="1"/>
        <v>8.1635458293737542E-2</v>
      </c>
      <c r="R30" s="197"/>
      <c r="S30" s="198">
        <f>N30/J30*100</f>
        <v>9.344575868978227</v>
      </c>
      <c r="T30" s="199"/>
      <c r="U30" s="195"/>
      <c r="V30" s="195"/>
      <c r="Y30" s="205"/>
    </row>
    <row r="31" spans="2:25">
      <c r="B31" s="200">
        <f>MAX(B$14:B30)+1</f>
        <v>11</v>
      </c>
      <c r="D31" s="344" t="s">
        <v>74</v>
      </c>
      <c r="F31" s="181"/>
      <c r="G31" s="181"/>
      <c r="H31" s="201">
        <f>SUM(H28:H30)</f>
        <v>646.5</v>
      </c>
      <c r="J31" s="201">
        <f>SUM(J28:J30)</f>
        <v>1388647.3759234736</v>
      </c>
      <c r="L31" s="202">
        <f>SUM(L28:L30)</f>
        <v>111980.71799999999</v>
      </c>
      <c r="M31" s="196"/>
      <c r="N31" s="202">
        <f>SUM(N28:N30)</f>
        <v>119048.15299999999</v>
      </c>
      <c r="O31" s="195"/>
      <c r="P31" s="202">
        <f>SUM(P28:P30)</f>
        <v>7067.4349999999886</v>
      </c>
      <c r="Q31" s="203">
        <f t="shared" si="1"/>
        <v>6.3112963787211915E-2</v>
      </c>
      <c r="R31" s="197"/>
      <c r="S31" s="204">
        <f>N31/J31*100</f>
        <v>8.5729577619250534</v>
      </c>
      <c r="T31" s="199"/>
      <c r="U31" s="202">
        <f>'Exh. JAP-39 (Rate Spread)'!J19</f>
        <v>7067.1262233192174</v>
      </c>
      <c r="V31" s="202">
        <f>U31-P31</f>
        <v>-0.30877668077118869</v>
      </c>
      <c r="Y31" s="205"/>
    </row>
    <row r="32" spans="2:25">
      <c r="B32" s="200"/>
      <c r="F32" s="184"/>
      <c r="G32" s="181"/>
      <c r="H32" s="194"/>
      <c r="J32" s="194"/>
      <c r="L32" s="195"/>
      <c r="M32" s="196"/>
      <c r="N32" s="195"/>
      <c r="O32" s="195"/>
      <c r="P32" s="195"/>
      <c r="Q32" s="197"/>
      <c r="R32" s="197"/>
      <c r="S32" s="198"/>
      <c r="T32" s="199"/>
      <c r="U32" s="195"/>
      <c r="V32" s="195"/>
      <c r="Y32" s="205"/>
    </row>
    <row r="33" spans="2:25">
      <c r="B33" s="200">
        <f>MAX(B$14:B32)+1</f>
        <v>12</v>
      </c>
      <c r="D33" s="178" t="s">
        <v>62</v>
      </c>
      <c r="F33" s="184">
        <v>40</v>
      </c>
      <c r="G33" s="181"/>
      <c r="H33" s="201">
        <f>'Exh. JAP-39 (CAMP RD)'!C18/12</f>
        <v>167.25</v>
      </c>
      <c r="J33" s="201">
        <f>'Exh. JAP-39 (CAMP RD)'!C27/1000</f>
        <v>674604.05341613106</v>
      </c>
      <c r="L33" s="202">
        <f>'Exh. JAP-39 (CAMP RD)'!G41/1000</f>
        <v>47836.637129941089</v>
      </c>
      <c r="M33" s="196"/>
      <c r="N33" s="202">
        <f>'Exh. JAP-39 (CAMP RD)'!J41/1000</f>
        <v>51873.388059799996</v>
      </c>
      <c r="O33" s="195"/>
      <c r="P33" s="202">
        <f>N33-L33</f>
        <v>4036.7509298589066</v>
      </c>
      <c r="Q33" s="203">
        <f t="shared" ref="Q33" si="4">P33/L33</f>
        <v>8.4386177040281382E-2</v>
      </c>
      <c r="R33" s="197"/>
      <c r="S33" s="204">
        <f>N33/J33*100</f>
        <v>7.6894569187834065</v>
      </c>
      <c r="T33" s="199"/>
      <c r="U33" s="202">
        <f>'Exh. JAP-39 (Rate Spread)'!J21</f>
        <v>4036.750929844743</v>
      </c>
      <c r="V33" s="202">
        <f>U33-P33</f>
        <v>-1.4163560990709811E-8</v>
      </c>
      <c r="Y33" s="205"/>
    </row>
    <row r="34" spans="2:25">
      <c r="B34" s="200"/>
      <c r="F34" s="184"/>
      <c r="G34" s="181"/>
      <c r="H34" s="194"/>
      <c r="J34" s="194"/>
      <c r="L34" s="195"/>
      <c r="M34" s="196"/>
      <c r="N34" s="195"/>
      <c r="O34" s="195"/>
      <c r="P34" s="195"/>
      <c r="Q34" s="197"/>
      <c r="R34" s="197"/>
      <c r="S34" s="198"/>
      <c r="T34" s="199"/>
      <c r="U34" s="195"/>
      <c r="V34" s="195"/>
      <c r="Y34" s="205"/>
    </row>
    <row r="35" spans="2:25">
      <c r="B35" s="200"/>
      <c r="D35" s="345" t="s">
        <v>67</v>
      </c>
      <c r="F35" s="184"/>
      <c r="G35" s="181"/>
      <c r="H35" s="194"/>
      <c r="J35" s="194"/>
      <c r="L35" s="195"/>
      <c r="M35" s="196"/>
      <c r="N35" s="195"/>
      <c r="O35" s="195"/>
      <c r="P35" s="195"/>
      <c r="Q35" s="197"/>
      <c r="R35" s="197"/>
      <c r="S35" s="198"/>
      <c r="T35" s="199"/>
      <c r="U35" s="195"/>
      <c r="V35" s="195"/>
    </row>
    <row r="36" spans="2:25">
      <c r="B36" s="200">
        <f>MAX(B$14:B34)+1</f>
        <v>13</v>
      </c>
      <c r="D36" s="276" t="s">
        <v>63</v>
      </c>
      <c r="F36" s="184">
        <v>46</v>
      </c>
      <c r="G36" s="181"/>
      <c r="H36" s="194">
        <f>'Exh. JAP-39 (HV RD)'!C14/12</f>
        <v>5</v>
      </c>
      <c r="J36" s="194">
        <f>'Exh. JAP-39 (HV RD)'!C19/1000</f>
        <v>64275.357697999993</v>
      </c>
      <c r="L36" s="195">
        <f>'Exh. JAP-39 (HV RD)'!F23/1000</f>
        <v>4202.3490000000002</v>
      </c>
      <c r="M36" s="196"/>
      <c r="N36" s="195">
        <f>'Exh. JAP-39 (HV RD)'!I23/1000</f>
        <v>4459.7849999999999</v>
      </c>
      <c r="O36" s="195"/>
      <c r="P36" s="195">
        <f t="shared" ref="P36:P37" si="5">N36-L36</f>
        <v>257.43599999999969</v>
      </c>
      <c r="Q36" s="197">
        <f t="shared" ref="Q36:Q37" si="6">P36/L36</f>
        <v>6.126002385808501E-2</v>
      </c>
      <c r="R36" s="197"/>
      <c r="S36" s="198">
        <f t="shared" ref="S36:S37" si="7">N36/J36*100</f>
        <v>6.9385611527118289</v>
      </c>
      <c r="T36" s="199"/>
      <c r="U36" s="195"/>
      <c r="V36" s="195"/>
      <c r="Y36" s="205"/>
    </row>
    <row r="37" spans="2:25">
      <c r="B37" s="200">
        <f>MAX(B$14:B36)+1</f>
        <v>14</v>
      </c>
      <c r="D37" s="178" t="s">
        <v>64</v>
      </c>
      <c r="F37" s="184">
        <v>49</v>
      </c>
      <c r="G37" s="181"/>
      <c r="H37" s="194">
        <f>'Exh. JAP-39 (HV RD)'!C30/12</f>
        <v>20</v>
      </c>
      <c r="J37" s="194">
        <f>'Exh. JAP-39 (HV RD)'!C35/1000</f>
        <v>567983.85900000005</v>
      </c>
      <c r="L37" s="195">
        <f>'Exh. JAP-39 (HV RD)'!F39/1000</f>
        <v>36157.741000000002</v>
      </c>
      <c r="M37" s="196"/>
      <c r="N37" s="195">
        <f>'Exh. JAP-39 (HV RD)'!I39/1000</f>
        <v>38371.629000000001</v>
      </c>
      <c r="O37" s="195"/>
      <c r="P37" s="195">
        <f t="shared" si="5"/>
        <v>2213.887999999999</v>
      </c>
      <c r="Q37" s="197">
        <f t="shared" si="6"/>
        <v>6.1228603855533976E-2</v>
      </c>
      <c r="R37" s="197"/>
      <c r="S37" s="198">
        <f t="shared" si="7"/>
        <v>6.7557604660733848</v>
      </c>
      <c r="T37" s="199"/>
      <c r="U37" s="195"/>
      <c r="V37" s="195"/>
      <c r="Y37" s="205"/>
    </row>
    <row r="38" spans="2:25">
      <c r="B38" s="200">
        <f>MAX(B$14:B37)+1</f>
        <v>15</v>
      </c>
      <c r="D38" s="344" t="s">
        <v>67</v>
      </c>
      <c r="F38" s="181"/>
      <c r="G38" s="181"/>
      <c r="H38" s="201">
        <f>SUM(H36:H37)</f>
        <v>25</v>
      </c>
      <c r="J38" s="201">
        <f>SUM(J36:J37)</f>
        <v>632259.21669800009</v>
      </c>
      <c r="L38" s="202">
        <f>SUM(L36:L37)</f>
        <v>40360.090000000004</v>
      </c>
      <c r="M38" s="196"/>
      <c r="N38" s="202">
        <f>SUM(N36:N37)</f>
        <v>42831.414000000004</v>
      </c>
      <c r="O38" s="195"/>
      <c r="P38" s="202">
        <f>SUM(P36:P37)</f>
        <v>2471.3239999999987</v>
      </c>
      <c r="Q38" s="203">
        <f t="shared" ref="Q38" si="8">P38/L38</f>
        <v>6.1231875350129264E-2</v>
      </c>
      <c r="R38" s="197"/>
      <c r="S38" s="204">
        <f>N38/J38*100</f>
        <v>6.7743439508385244</v>
      </c>
      <c r="T38" s="199"/>
      <c r="U38" s="202">
        <f>'Exh. JAP-39 (Rate Spread)'!J23</f>
        <v>2471.0916183654467</v>
      </c>
      <c r="V38" s="202">
        <f>U38-P38</f>
        <v>-0.23238163455198446</v>
      </c>
      <c r="Y38" s="205"/>
    </row>
    <row r="39" spans="2:25">
      <c r="B39" s="200"/>
      <c r="F39" s="184"/>
      <c r="G39" s="181"/>
      <c r="H39" s="194"/>
      <c r="J39" s="194"/>
      <c r="L39" s="195"/>
      <c r="M39" s="196"/>
      <c r="N39" s="195"/>
      <c r="O39" s="195"/>
      <c r="P39" s="195"/>
      <c r="Q39" s="197"/>
      <c r="R39" s="197"/>
      <c r="S39" s="198"/>
      <c r="T39" s="199"/>
      <c r="U39" s="195"/>
      <c r="V39" s="195"/>
      <c r="Y39" s="205"/>
    </row>
    <row r="40" spans="2:25">
      <c r="B40" s="200">
        <f>MAX(B$14:B39)+1</f>
        <v>16</v>
      </c>
      <c r="D40" s="178" t="s">
        <v>76</v>
      </c>
      <c r="F40" s="184" t="s">
        <v>77</v>
      </c>
      <c r="G40" s="181"/>
      <c r="H40" s="201">
        <f>'Exh. JAP-39 (TRANSP RD)'!C14/12</f>
        <v>20</v>
      </c>
      <c r="J40" s="201">
        <f>'Exh. JAP-39 (TRANSP RD)'!C19/1000</f>
        <v>2098103.6366259996</v>
      </c>
      <c r="L40" s="202">
        <f>'Exh. JAP-39 (TRANSP RD)'!F27/1000</f>
        <v>7513.2849999999999</v>
      </c>
      <c r="M40" s="196"/>
      <c r="N40" s="202">
        <f>'Exh. JAP-39 (TRANSP RD)'!I27/1000</f>
        <v>7964.2250000000004</v>
      </c>
      <c r="O40" s="195"/>
      <c r="P40" s="202">
        <f>N40-L40</f>
        <v>450.94000000000051</v>
      </c>
      <c r="Q40" s="203">
        <f t="shared" ref="Q40" si="9">P40/L40</f>
        <v>6.0019019643205405E-2</v>
      </c>
      <c r="R40" s="197"/>
      <c r="S40" s="204">
        <f>N40/J40*100</f>
        <v>0.37959159218690564</v>
      </c>
      <c r="T40" s="199"/>
      <c r="U40" s="202">
        <f>'Exh. JAP-39 (Rate Spread)'!J25</f>
        <v>450.94</v>
      </c>
      <c r="V40" s="202">
        <f>U40-P40</f>
        <v>-5.1159076974727213E-13</v>
      </c>
      <c r="Y40" s="205"/>
    </row>
    <row r="41" spans="2:25">
      <c r="B41" s="200"/>
      <c r="F41" s="184"/>
      <c r="G41" s="181"/>
      <c r="H41" s="194"/>
      <c r="J41" s="194"/>
      <c r="L41" s="195"/>
      <c r="M41" s="196"/>
      <c r="N41" s="195"/>
      <c r="O41" s="195"/>
      <c r="P41" s="195"/>
      <c r="Q41" s="197"/>
      <c r="R41" s="197"/>
      <c r="S41" s="198"/>
      <c r="T41" s="199"/>
      <c r="U41" s="195"/>
      <c r="V41" s="195"/>
      <c r="Y41" s="205"/>
    </row>
    <row r="42" spans="2:25">
      <c r="B42" s="200">
        <f>MAX(B$14:B41)+1</f>
        <v>17</v>
      </c>
      <c r="D42" s="178" t="s">
        <v>78</v>
      </c>
      <c r="F42" s="184" t="s">
        <v>79</v>
      </c>
      <c r="G42" s="181"/>
      <c r="H42" s="201">
        <f>'Exh. JAP-39 (LIGHT RD)'!C22/12</f>
        <v>7226.5</v>
      </c>
      <c r="J42" s="201">
        <f>'Exh. JAP-39 (LIGHT RD)'!K22/1000</f>
        <v>77972.349305999989</v>
      </c>
      <c r="L42" s="202">
        <f>'Exh. JAP-39 (LIGHT RD)'!F22/1000</f>
        <v>17167.097000000002</v>
      </c>
      <c r="M42" s="196"/>
      <c r="N42" s="202">
        <f>'Exh. JAP-39 (LIGHT RD)'!I22/1000</f>
        <v>18568.530999999999</v>
      </c>
      <c r="O42" s="195"/>
      <c r="P42" s="202">
        <f>N42-L42</f>
        <v>1401.4339999999975</v>
      </c>
      <c r="Q42" s="203">
        <f t="shared" ref="Q42" si="10">P42/L42</f>
        <v>8.1634885618692393E-2</v>
      </c>
      <c r="R42" s="197"/>
      <c r="S42" s="204">
        <f>N42/J42*100</f>
        <v>23.814251032925011</v>
      </c>
      <c r="T42" s="199"/>
      <c r="U42" s="202">
        <f>'Exh. JAP-39 (Rate Spread)'!J27</f>
        <v>1401.4329339822782</v>
      </c>
      <c r="V42" s="202">
        <f>U42-P42</f>
        <v>-1.0660177192676201E-3</v>
      </c>
      <c r="Y42" s="205"/>
    </row>
    <row r="43" spans="2:25">
      <c r="B43" s="200"/>
      <c r="F43" s="184"/>
      <c r="G43" s="181"/>
      <c r="H43" s="194"/>
      <c r="J43" s="194"/>
      <c r="L43" s="195"/>
      <c r="M43" s="196"/>
      <c r="N43" s="195"/>
      <c r="O43" s="195"/>
      <c r="P43" s="195"/>
      <c r="Q43" s="197"/>
      <c r="R43" s="197"/>
      <c r="S43" s="198"/>
      <c r="T43" s="199"/>
      <c r="U43" s="195"/>
      <c r="V43" s="195"/>
      <c r="Y43" s="205"/>
    </row>
    <row r="44" spans="2:25">
      <c r="B44" s="200">
        <f>MAX(B$14:B43)+1</f>
        <v>18</v>
      </c>
      <c r="D44" s="344" t="s">
        <v>80</v>
      </c>
      <c r="H44" s="201">
        <f>SUM(H42,H40,H38,H33,H31,H25,H18)</f>
        <v>1152308</v>
      </c>
      <c r="J44" s="201">
        <f>SUM(J42,J40,J38,J33,J31,J25,J18)</f>
        <v>22814379.536351249</v>
      </c>
      <c r="L44" s="202">
        <f>SUM(L42,L40,L38,L33,L31,L25,L18)</f>
        <v>1963186.316129941</v>
      </c>
      <c r="M44" s="196"/>
      <c r="N44" s="202">
        <f>SUM(N42,N40,N38,N33,N31,N25,N18)</f>
        <v>2106813.7910598</v>
      </c>
      <c r="O44" s="195"/>
      <c r="P44" s="202">
        <f>SUM(P42,P40,P38,P33,P31,P25,P18)</f>
        <v>143627.4749298589</v>
      </c>
      <c r="Q44" s="203">
        <f>P44/L44</f>
        <v>7.3160389184554794E-2</v>
      </c>
      <c r="R44" s="197"/>
      <c r="S44" s="204">
        <f>N44/J44*100</f>
        <v>9.2345872816874639</v>
      </c>
      <c r="T44" s="199"/>
      <c r="U44" s="202">
        <f>SUM(U42,U40,U38,U33,U31,U25,U18)</f>
        <v>143626.92300000001</v>
      </c>
      <c r="V44" s="202">
        <f>U44-P44</f>
        <v>-0.55192985889152624</v>
      </c>
      <c r="Y44" s="205"/>
    </row>
    <row r="45" spans="2:25">
      <c r="B45" s="181"/>
      <c r="L45" s="205"/>
      <c r="M45" s="205"/>
      <c r="N45" s="205"/>
      <c r="O45" s="205"/>
      <c r="P45" s="205"/>
      <c r="Q45" s="206"/>
      <c r="T45" s="180"/>
      <c r="U45" s="205"/>
      <c r="V45" s="205"/>
      <c r="Y45" s="205"/>
    </row>
    <row r="46" spans="2:25">
      <c r="B46" s="200">
        <f>MAX(B$14:B45)+1</f>
        <v>19</v>
      </c>
      <c r="D46" s="178" t="s">
        <v>81</v>
      </c>
      <c r="F46" s="184" t="s">
        <v>79</v>
      </c>
      <c r="G46" s="181"/>
      <c r="H46" s="201">
        <f>'Exh. JAP-39 (TRANSP RD)'!C34/12</f>
        <v>8</v>
      </c>
      <c r="J46" s="201">
        <f>'Exh. JAP-39 (TRANSP RD)'!C39/1000</f>
        <v>6929.8034221808284</v>
      </c>
      <c r="L46" s="202">
        <f>'Exh. JAP-39 (TRANSP RD)'!F47/1000</f>
        <v>316.39299999999997</v>
      </c>
      <c r="M46" s="205"/>
      <c r="N46" s="202">
        <f>'Exh. JAP-39 (TRANSP RD)'!I47/1000</f>
        <v>721.53599999999994</v>
      </c>
      <c r="O46" s="195"/>
      <c r="P46" s="202">
        <f>N46-L46</f>
        <v>405.14299999999997</v>
      </c>
      <c r="Q46" s="203">
        <f t="shared" ref="Q46" si="11">P46/L46</f>
        <v>1.2805055737642741</v>
      </c>
      <c r="R46" s="197"/>
      <c r="S46" s="204">
        <f>N46/J46*100</f>
        <v>10.412070242721699</v>
      </c>
      <c r="T46" s="180"/>
      <c r="U46" s="202">
        <f>'Exh. JAP-39 (Rate Spread)'!J31</f>
        <v>405.14299999999997</v>
      </c>
      <c r="V46" s="202">
        <f>U46-P46</f>
        <v>0</v>
      </c>
      <c r="Y46" s="205"/>
    </row>
    <row r="47" spans="2:25">
      <c r="B47" s="181"/>
      <c r="L47" s="205"/>
      <c r="M47" s="205"/>
      <c r="N47" s="205"/>
      <c r="O47" s="205"/>
      <c r="P47" s="205"/>
      <c r="Q47" s="206"/>
      <c r="T47" s="180"/>
      <c r="U47" s="205"/>
      <c r="V47" s="205"/>
      <c r="Y47" s="205"/>
    </row>
    <row r="48" spans="2:25" ht="16.5" thickBot="1">
      <c r="B48" s="200">
        <f>MAX(B$14:B47)+1</f>
        <v>20</v>
      </c>
      <c r="D48" s="209" t="s">
        <v>82</v>
      </c>
      <c r="H48" s="210">
        <f>H46+H44</f>
        <v>1152316</v>
      </c>
      <c r="J48" s="210">
        <f>J46+J44</f>
        <v>22821309.339773428</v>
      </c>
      <c r="L48" s="211">
        <f>L46+L44</f>
        <v>1963502.709129941</v>
      </c>
      <c r="M48" s="212"/>
      <c r="N48" s="211">
        <f>N46+N44</f>
        <v>2107535.3270597998</v>
      </c>
      <c r="O48" s="213"/>
      <c r="P48" s="211">
        <f>P46+P44</f>
        <v>144032.61792985891</v>
      </c>
      <c r="Q48" s="214">
        <f>P48/L48</f>
        <v>7.335493720489035E-2</v>
      </c>
      <c r="R48" s="199"/>
      <c r="S48" s="215">
        <f>N48/J48*100</f>
        <v>9.2349448302107096</v>
      </c>
      <c r="T48" s="199"/>
      <c r="U48" s="211">
        <f t="shared" ref="U48:V48" si="12">U46+U44</f>
        <v>144032.06600000002</v>
      </c>
      <c r="V48" s="211">
        <f t="shared" si="12"/>
        <v>-0.55192985889152624</v>
      </c>
      <c r="Y48" s="205"/>
    </row>
    <row r="49" spans="2:25" ht="16.5" thickTop="1">
      <c r="B49" s="302" t="s">
        <v>0</v>
      </c>
      <c r="C49" s="303"/>
      <c r="D49" s="303"/>
      <c r="H49" s="216"/>
      <c r="J49" s="216"/>
      <c r="L49" s="217"/>
      <c r="M49" s="199"/>
      <c r="N49" s="217"/>
      <c r="O49" s="217"/>
      <c r="P49" s="217"/>
      <c r="Q49" s="206"/>
      <c r="R49" s="199"/>
      <c r="S49" s="199"/>
      <c r="T49" s="199"/>
      <c r="Y49" s="205"/>
    </row>
    <row r="50" spans="2:25" ht="18.75" customHeight="1" thickBot="1">
      <c r="D50" s="178" t="s">
        <v>357</v>
      </c>
      <c r="J50" s="210">
        <v>22821309</v>
      </c>
      <c r="L50" s="211">
        <v>1963503</v>
      </c>
      <c r="P50" s="217" t="s">
        <v>0</v>
      </c>
      <c r="Q50" s="218" t="s">
        <v>0</v>
      </c>
      <c r="Y50" s="205"/>
    </row>
    <row r="51" spans="2:25" ht="17.25" thickTop="1" thickBot="1">
      <c r="D51" s="178" t="s">
        <v>357</v>
      </c>
      <c r="J51" s="210">
        <f>J50-J48</f>
        <v>-0.33977342769503593</v>
      </c>
      <c r="L51" s="211">
        <f>L50-L48</f>
        <v>0.29087005904875696</v>
      </c>
      <c r="M51" s="180"/>
      <c r="N51" s="219"/>
      <c r="P51" s="219"/>
      <c r="Q51" s="146"/>
      <c r="R51" s="180"/>
      <c r="S51" s="180"/>
      <c r="T51" s="180"/>
      <c r="Y51" s="205"/>
    </row>
    <row r="52" spans="2:25" ht="16.5" thickTop="1">
      <c r="J52" s="207"/>
      <c r="L52" s="174"/>
      <c r="M52" s="180"/>
      <c r="N52" s="174"/>
      <c r="P52" s="174"/>
      <c r="R52" s="180"/>
      <c r="S52" s="217"/>
      <c r="T52" s="180"/>
    </row>
    <row r="53" spans="2:25">
      <c r="N53" s="180"/>
      <c r="P53" s="174"/>
      <c r="Q53" s="218"/>
    </row>
    <row r="54" spans="2:25">
      <c r="N54" s="180"/>
      <c r="P54" s="220"/>
      <c r="Q54" s="221"/>
    </row>
    <row r="55" spans="2:25">
      <c r="N55" s="193"/>
      <c r="P55" s="220"/>
      <c r="Q55" s="86"/>
    </row>
    <row r="56" spans="2:25">
      <c r="N56" s="222"/>
      <c r="Q56" s="223"/>
    </row>
    <row r="57" spans="2:25">
      <c r="Q57" s="86"/>
    </row>
    <row r="59" spans="2:25">
      <c r="N59" s="193"/>
    </row>
  </sheetData>
  <mergeCells count="11">
    <mergeCell ref="U11:U13"/>
    <mergeCell ref="V11:V13"/>
    <mergeCell ref="N9:Q9"/>
    <mergeCell ref="N10:Q10"/>
    <mergeCell ref="B49:D49"/>
    <mergeCell ref="B7:R7"/>
    <mergeCell ref="B2:R2"/>
    <mergeCell ref="B3:R3"/>
    <mergeCell ref="B4:R4"/>
    <mergeCell ref="B5:R5"/>
    <mergeCell ref="B6:R6"/>
  </mergeCells>
  <printOptions horizontalCentered="1"/>
  <pageMargins left="0.7" right="0.7" top="0.75" bottom="0.71" header="0.3" footer="0.3"/>
  <pageSetup scale="68" orientation="landscape" r:id="rId1"/>
  <headerFooter alignWithMargins="0">
    <oddFooter>&amp;RExhibit No.___(JAP-39)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7">
    <pageSetUpPr fitToPage="1"/>
  </sheetPr>
  <dimension ref="A1:AG50"/>
  <sheetViews>
    <sheetView view="pageBreakPreview" zoomScale="80" zoomScaleNormal="100" zoomScaleSheetLayoutView="80" workbookViewId="0">
      <pane ySplit="10" topLeftCell="A11" activePane="bottomLeft" state="frozen"/>
      <selection sqref="A1:XFD1048576"/>
      <selection pane="bottomLeft" activeCell="H11" sqref="H11"/>
    </sheetView>
  </sheetViews>
  <sheetFormatPr defaultColWidth="10.25" defaultRowHeight="15.75"/>
  <cols>
    <col min="1" max="1" width="22.375" style="44" bestFit="1" customWidth="1"/>
    <col min="2" max="2" width="1.375" style="44" bestFit="1" customWidth="1"/>
    <col min="3" max="3" width="14.25" style="44" bestFit="1" customWidth="1"/>
    <col min="4" max="4" width="10.75" style="44" bestFit="1" customWidth="1"/>
    <col min="5" max="5" width="2" style="44" bestFit="1" customWidth="1"/>
    <col min="6" max="6" width="14.25" style="44" bestFit="1" customWidth="1"/>
    <col min="7" max="7" width="17" style="44" customWidth="1"/>
    <col min="8" max="8" width="2" style="44" bestFit="1" customWidth="1"/>
    <col min="9" max="9" width="17" style="44" customWidth="1"/>
    <col min="10" max="10" width="1.625" style="44" customWidth="1"/>
    <col min="11" max="11" width="20.375" style="44" bestFit="1" customWidth="1"/>
    <col min="12" max="12" width="16" style="65" bestFit="1" customWidth="1"/>
    <col min="13" max="13" width="12" style="65" customWidth="1"/>
    <col min="14" max="14" width="21" style="65" customWidth="1"/>
    <col min="15" max="17" width="1.375" style="44" bestFit="1" customWidth="1"/>
    <col min="18" max="18" width="14.125" style="44" bestFit="1" customWidth="1"/>
    <col min="19" max="19" width="1.375" style="44" bestFit="1" customWidth="1"/>
    <col min="20" max="20" width="13.25" style="44" bestFit="1" customWidth="1"/>
    <col min="21" max="21" width="13" style="44" bestFit="1" customWidth="1"/>
    <col min="22" max="22" width="12.25" style="44" bestFit="1" customWidth="1"/>
    <col min="23" max="23" width="5.5" style="44" bestFit="1" customWidth="1"/>
    <col min="24" max="24" width="1.375" style="44" bestFit="1" customWidth="1"/>
    <col min="25" max="25" width="10.25" style="44" customWidth="1"/>
    <col min="26" max="26" width="12.125" style="44" customWidth="1"/>
    <col min="27" max="16384" width="10.25" style="44"/>
  </cols>
  <sheetData>
    <row r="1" spans="1:31">
      <c r="K1" s="63"/>
      <c r="L1" s="64"/>
      <c r="M1" s="64"/>
      <c r="N1" s="64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</row>
    <row r="2" spans="1:31" ht="18.75">
      <c r="A2" s="311" t="s">
        <v>54</v>
      </c>
      <c r="B2" s="311"/>
      <c r="C2" s="311"/>
      <c r="D2" s="311"/>
      <c r="E2" s="311"/>
      <c r="F2" s="311"/>
      <c r="G2" s="311"/>
      <c r="H2" s="311"/>
      <c r="I2" s="311"/>
      <c r="J2" s="311"/>
      <c r="K2" s="63"/>
      <c r="L2" s="64"/>
      <c r="M2" s="64"/>
      <c r="N2" s="64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1:31">
      <c r="A3" s="330" t="str">
        <f>'Exh. JAP-39 (Prof-Prop)'!$B$6</f>
        <v>12 MONTHS ENDED SEPTEMBER 2016</v>
      </c>
      <c r="B3" s="330"/>
      <c r="C3" s="330"/>
      <c r="D3" s="330"/>
      <c r="E3" s="330"/>
      <c r="F3" s="330"/>
      <c r="G3" s="330"/>
      <c r="H3" s="330"/>
      <c r="I3" s="330"/>
      <c r="J3" s="140"/>
      <c r="K3" s="63"/>
      <c r="L3" s="64"/>
      <c r="M3" s="64"/>
      <c r="N3" s="64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</row>
    <row r="4" spans="1:31">
      <c r="A4" s="304" t="s">
        <v>31</v>
      </c>
      <c r="B4" s="304"/>
      <c r="C4" s="304"/>
      <c r="D4" s="304"/>
      <c r="E4" s="304"/>
      <c r="F4" s="304"/>
      <c r="G4" s="304"/>
      <c r="H4" s="304"/>
      <c r="I4" s="304"/>
      <c r="J4" s="45"/>
      <c r="K4" s="63"/>
      <c r="L4" s="64"/>
      <c r="M4" s="64"/>
      <c r="N4" s="64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</row>
    <row r="5" spans="1:31">
      <c r="A5" s="46" t="s">
        <v>111</v>
      </c>
      <c r="B5" s="141"/>
      <c r="C5" s="141"/>
      <c r="D5" s="142"/>
      <c r="E5" s="142"/>
      <c r="F5" s="141"/>
      <c r="G5" s="142"/>
      <c r="H5" s="141"/>
      <c r="I5" s="141"/>
      <c r="J5" s="141"/>
      <c r="K5" s="63"/>
      <c r="L5" s="64"/>
      <c r="M5" s="64"/>
      <c r="N5" s="64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</row>
    <row r="6" spans="1:31">
      <c r="A6" s="46"/>
      <c r="B6" s="141"/>
      <c r="C6" s="141"/>
      <c r="D6" s="142"/>
      <c r="E6" s="142"/>
      <c r="F6" s="141"/>
      <c r="G6" s="142"/>
      <c r="H6" s="141"/>
      <c r="I6" s="141"/>
      <c r="J6" s="141"/>
      <c r="K6" s="63"/>
      <c r="L6" s="64"/>
      <c r="M6" s="64"/>
      <c r="N6" s="64"/>
      <c r="O6" s="64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</row>
    <row r="7" spans="1:31">
      <c r="A7" s="141"/>
      <c r="B7" s="141"/>
      <c r="C7" s="141"/>
      <c r="D7" s="142"/>
      <c r="E7" s="142"/>
      <c r="F7" s="141"/>
      <c r="G7" s="142"/>
      <c r="H7" s="141"/>
      <c r="I7" s="141"/>
      <c r="J7" s="141"/>
      <c r="K7" s="63"/>
      <c r="L7" s="64"/>
      <c r="M7" s="64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</row>
    <row r="8" spans="1:31">
      <c r="A8" s="48"/>
      <c r="B8" s="48"/>
      <c r="C8" s="47"/>
      <c r="D8" s="48"/>
      <c r="E8" s="48"/>
      <c r="G8" s="48"/>
      <c r="H8" s="49"/>
      <c r="I8" s="49"/>
      <c r="J8" s="49"/>
      <c r="K8" s="63"/>
      <c r="L8" s="64"/>
      <c r="M8" s="64"/>
      <c r="N8" s="64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</row>
    <row r="9" spans="1:31">
      <c r="A9" s="48"/>
      <c r="B9" s="48"/>
      <c r="C9" s="47" t="s">
        <v>32</v>
      </c>
      <c r="D9" s="305" t="s">
        <v>3</v>
      </c>
      <c r="E9" s="306"/>
      <c r="F9" s="307"/>
      <c r="G9" s="308" t="s">
        <v>356</v>
      </c>
      <c r="H9" s="306"/>
      <c r="I9" s="307"/>
      <c r="J9" s="49"/>
      <c r="K9" s="63"/>
      <c r="L9" s="64"/>
      <c r="M9" s="64"/>
      <c r="N9" s="64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</row>
    <row r="10" spans="1:31">
      <c r="A10" s="48"/>
      <c r="B10" s="48"/>
      <c r="C10" s="51" t="s">
        <v>33</v>
      </c>
      <c r="D10" s="52" t="s">
        <v>34</v>
      </c>
      <c r="E10" s="53"/>
      <c r="F10" s="49" t="s">
        <v>35</v>
      </c>
      <c r="G10" s="52" t="s">
        <v>34</v>
      </c>
      <c r="H10" s="52"/>
      <c r="I10" s="52" t="s">
        <v>35</v>
      </c>
      <c r="J10" s="52"/>
      <c r="K10" s="63"/>
      <c r="L10" s="64"/>
      <c r="M10" s="64"/>
      <c r="N10" s="64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</row>
    <row r="11" spans="1:31">
      <c r="A11" s="67" t="s">
        <v>365</v>
      </c>
      <c r="B11" s="54"/>
      <c r="C11" s="54"/>
      <c r="D11" s="55"/>
      <c r="E11" s="54"/>
      <c r="F11" s="54"/>
      <c r="G11" s="55"/>
      <c r="H11" s="54"/>
      <c r="I11" s="54"/>
      <c r="J11" s="54"/>
      <c r="K11" s="63"/>
      <c r="L11" s="64"/>
      <c r="M11" s="64"/>
    </row>
    <row r="12" spans="1:31">
      <c r="A12" s="67" t="s">
        <v>30</v>
      </c>
      <c r="B12" s="54"/>
      <c r="C12" s="54"/>
      <c r="D12" s="55"/>
      <c r="E12" s="54"/>
      <c r="F12" s="54"/>
      <c r="G12" s="55"/>
      <c r="H12" s="54"/>
      <c r="I12" s="54"/>
      <c r="J12" s="54"/>
      <c r="K12" s="164"/>
      <c r="L12" s="64"/>
      <c r="M12" s="64"/>
    </row>
    <row r="13" spans="1:31">
      <c r="A13" s="54" t="s">
        <v>43</v>
      </c>
      <c r="B13" s="54"/>
      <c r="C13" s="54"/>
      <c r="D13" s="55"/>
      <c r="E13" s="54"/>
      <c r="F13" s="54"/>
      <c r="G13" s="55"/>
      <c r="H13" s="54"/>
      <c r="I13" s="54"/>
      <c r="J13" s="54"/>
      <c r="K13" s="63"/>
      <c r="L13" s="64"/>
      <c r="M13" s="165"/>
    </row>
    <row r="14" spans="1:31">
      <c r="A14" s="54" t="s">
        <v>41</v>
      </c>
      <c r="B14" s="54"/>
      <c r="C14" s="55">
        <f>C29</f>
        <v>11996380</v>
      </c>
      <c r="D14" s="68">
        <f>D29</f>
        <v>7.49</v>
      </c>
      <c r="E14" s="54"/>
      <c r="F14" s="57">
        <f>ROUND(D14*$C14,0)</f>
        <v>89852886</v>
      </c>
      <c r="G14" s="68">
        <v>9</v>
      </c>
      <c r="H14" s="54"/>
      <c r="I14" s="57">
        <f>ROUND(G14*$C14,0)</f>
        <v>107967420</v>
      </c>
      <c r="J14" s="57"/>
      <c r="K14" s="309" t="s">
        <v>89</v>
      </c>
      <c r="L14" s="309"/>
      <c r="M14" s="309"/>
    </row>
    <row r="15" spans="1:31">
      <c r="A15" s="54" t="s">
        <v>42</v>
      </c>
      <c r="B15" s="54"/>
      <c r="C15" s="55">
        <f>C30</f>
        <v>2918</v>
      </c>
      <c r="D15" s="68">
        <f>D30</f>
        <v>17.989999999999998</v>
      </c>
      <c r="E15" s="54"/>
      <c r="F15" s="57">
        <f>ROUND(D15*$C15,0)</f>
        <v>52495</v>
      </c>
      <c r="G15" s="68">
        <f>ROUND(I14/F14*F15/C15,1)</f>
        <v>21.6</v>
      </c>
      <c r="H15" s="54"/>
      <c r="I15" s="57">
        <f>ROUND(G15*$C15,0)</f>
        <v>63029</v>
      </c>
      <c r="J15" s="57"/>
      <c r="K15" s="309" t="s">
        <v>90</v>
      </c>
      <c r="L15" s="309"/>
      <c r="M15" s="309"/>
    </row>
    <row r="16" spans="1:31">
      <c r="A16" s="80" t="s">
        <v>36</v>
      </c>
      <c r="B16" s="54"/>
      <c r="C16" s="100">
        <f>SUM(C14:C15)</f>
        <v>11999298</v>
      </c>
      <c r="D16" s="93"/>
      <c r="E16" s="54"/>
      <c r="F16" s="99">
        <f>SUM(F14:F15)</f>
        <v>89905381</v>
      </c>
      <c r="G16" s="93"/>
      <c r="H16" s="54"/>
      <c r="I16" s="99">
        <f>SUM(I14:I15)</f>
        <v>108030449</v>
      </c>
      <c r="J16" s="57"/>
      <c r="K16" s="309"/>
      <c r="L16" s="309"/>
      <c r="M16" s="309"/>
    </row>
    <row r="17" spans="1:33">
      <c r="A17" s="54" t="s">
        <v>97</v>
      </c>
      <c r="B17" s="54"/>
      <c r="C17" s="81"/>
      <c r="D17" s="93"/>
      <c r="E17" s="54"/>
      <c r="F17" s="69"/>
      <c r="G17" s="93"/>
      <c r="H17" s="54"/>
      <c r="I17" s="69"/>
      <c r="J17" s="57"/>
      <c r="K17" s="277"/>
      <c r="L17" s="277"/>
      <c r="M17" s="277"/>
    </row>
    <row r="18" spans="1:33">
      <c r="A18" s="74" t="s">
        <v>86</v>
      </c>
      <c r="B18" s="54"/>
      <c r="C18" s="55">
        <f>C33</f>
        <v>5973778123</v>
      </c>
      <c r="D18" s="73">
        <f>D33</f>
        <v>8.5578000000000001E-2</v>
      </c>
      <c r="E18" s="54"/>
      <c r="F18" s="57">
        <f>ROUND(D18*$C18,0)</f>
        <v>511223984</v>
      </c>
      <c r="G18" s="73">
        <v>9.1621999999999995E-2</v>
      </c>
      <c r="H18" s="54"/>
      <c r="I18" s="57">
        <f>ROUND(G18*$C18,0)</f>
        <v>547329499</v>
      </c>
      <c r="J18" s="57"/>
      <c r="K18" s="309" t="s">
        <v>370</v>
      </c>
      <c r="L18" s="309"/>
      <c r="M18" s="309"/>
    </row>
    <row r="19" spans="1:33" ht="15.6" customHeight="1">
      <c r="A19" s="74" t="s">
        <v>271</v>
      </c>
      <c r="B19" s="54"/>
      <c r="C19" s="55">
        <f>SUM(C34:C36)</f>
        <v>4254038622</v>
      </c>
      <c r="D19" s="73">
        <f>D34</f>
        <v>0.104157</v>
      </c>
      <c r="E19" s="54"/>
      <c r="F19" s="57">
        <f>ROUND(D19*$C19,0)</f>
        <v>443087901</v>
      </c>
      <c r="G19" s="73">
        <f>ROUND(I18/F18*F19/C19,6)</f>
        <v>0.111513</v>
      </c>
      <c r="H19" s="54"/>
      <c r="I19" s="57">
        <f>ROUND(G19*$C19,0)</f>
        <v>474380609</v>
      </c>
      <c r="J19" s="57"/>
      <c r="K19" s="310" t="s">
        <v>366</v>
      </c>
      <c r="L19" s="310"/>
      <c r="M19" s="310"/>
      <c r="N19" s="166"/>
    </row>
    <row r="20" spans="1:33">
      <c r="A20" s="80" t="s">
        <v>36</v>
      </c>
      <c r="B20" s="167"/>
      <c r="C20" s="100">
        <f>SUM(C18:C19)</f>
        <v>10227816745</v>
      </c>
      <c r="D20" s="168"/>
      <c r="E20" s="57"/>
      <c r="F20" s="99">
        <f>SUM(F18:F19)</f>
        <v>954311885</v>
      </c>
      <c r="G20" s="57"/>
      <c r="H20" s="57"/>
      <c r="I20" s="99">
        <f>SUM(I18:I19)</f>
        <v>1021710108</v>
      </c>
      <c r="J20" s="57"/>
      <c r="K20" s="309"/>
      <c r="L20" s="309"/>
      <c r="M20" s="309"/>
    </row>
    <row r="21" spans="1:33" ht="15.6" customHeight="1">
      <c r="A21" s="76" t="s">
        <v>83</v>
      </c>
      <c r="B21" s="54"/>
      <c r="C21" s="55">
        <f>C38</f>
        <v>242969649</v>
      </c>
      <c r="D21" s="73">
        <f>D19</f>
        <v>0.104157</v>
      </c>
      <c r="E21" s="54"/>
      <c r="F21" s="57">
        <f>ROUND(D21*$C21,0)</f>
        <v>25306990</v>
      </c>
      <c r="G21" s="73">
        <f>G19</f>
        <v>0.111513</v>
      </c>
      <c r="H21" s="54"/>
      <c r="I21" s="57">
        <f>ROUND(G21*$C21,0)</f>
        <v>27094274</v>
      </c>
      <c r="J21" s="57"/>
      <c r="K21" s="309" t="s">
        <v>367</v>
      </c>
      <c r="L21" s="309"/>
      <c r="M21" s="309"/>
    </row>
    <row r="22" spans="1:33">
      <c r="A22" s="76" t="s">
        <v>88</v>
      </c>
      <c r="B22" s="60"/>
      <c r="C22" s="55">
        <f>C39</f>
        <v>-28359904.933104038</v>
      </c>
      <c r="D22" s="73">
        <f>ROUND(SUM($F$16,$F$20,$F$21)/SUM($C$20:$C$21),6)</f>
        <v>0.102144</v>
      </c>
      <c r="E22" s="54"/>
      <c r="F22" s="57">
        <f>ROUND(D22*$C22,0)</f>
        <v>-2896794</v>
      </c>
      <c r="G22" s="73">
        <f>ROUND(SUM($I$16,$I$20,$I$21)/SUM($C$20:$C$21),6)</f>
        <v>0.110482</v>
      </c>
      <c r="H22" s="54"/>
      <c r="I22" s="57">
        <f>ROUND(G22*$C22,0)</f>
        <v>-3133259</v>
      </c>
      <c r="J22" s="69"/>
      <c r="K22" s="309" t="s">
        <v>93</v>
      </c>
      <c r="L22" s="309"/>
      <c r="M22" s="309"/>
    </row>
    <row r="23" spans="1:33" ht="16.5" thickBot="1">
      <c r="A23" s="54" t="s">
        <v>37</v>
      </c>
      <c r="B23" s="54"/>
      <c r="C23" s="169">
        <f>SUM(C20:C22)</f>
        <v>10442426489.066896</v>
      </c>
      <c r="D23" s="73"/>
      <c r="E23" s="54"/>
      <c r="F23" s="62">
        <f>SUM(F20:F22,F16)</f>
        <v>1066627462</v>
      </c>
      <c r="G23" s="54"/>
      <c r="H23" s="54"/>
      <c r="I23" s="62">
        <f>SUM(I20:I22,I16)</f>
        <v>1153701572</v>
      </c>
      <c r="J23" s="89"/>
      <c r="K23" s="90" t="s">
        <v>38</v>
      </c>
      <c r="L23" s="170">
        <f>'Exh. JAP-39 (Rate Spread)'!K8*1000</f>
        <v>1153700906.9089384</v>
      </c>
      <c r="M23" s="92">
        <f>L23/F23-1</f>
        <v>8.1634355021827032E-2</v>
      </c>
    </row>
    <row r="24" spans="1:33" ht="16.5" thickTop="1">
      <c r="A24" s="54"/>
      <c r="B24" s="54"/>
      <c r="C24" s="81"/>
      <c r="D24" s="69"/>
      <c r="E24" s="69"/>
      <c r="F24" s="69"/>
      <c r="G24" s="69"/>
      <c r="H24" s="69"/>
      <c r="I24" s="69"/>
      <c r="J24" s="69"/>
      <c r="K24" s="94" t="s">
        <v>39</v>
      </c>
      <c r="L24" s="171">
        <f>L23-I23</f>
        <v>-665.09106159210205</v>
      </c>
      <c r="M24" s="172"/>
    </row>
    <row r="25" spans="1:33">
      <c r="C25" s="55"/>
      <c r="D25" s="54" t="s">
        <v>0</v>
      </c>
      <c r="E25" s="55"/>
      <c r="F25" s="57"/>
      <c r="G25" s="54" t="s">
        <v>0</v>
      </c>
      <c r="H25" s="55"/>
      <c r="I25" s="57" t="s">
        <v>0</v>
      </c>
      <c r="J25" s="57"/>
      <c r="K25" s="63"/>
      <c r="L25" s="64"/>
      <c r="M25" s="64"/>
      <c r="N25" s="64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G25" s="66"/>
    </row>
    <row r="26" spans="1:33">
      <c r="A26" s="67" t="s">
        <v>270</v>
      </c>
      <c r="B26" s="54"/>
      <c r="C26" s="54"/>
      <c r="D26" s="55"/>
      <c r="E26" s="54"/>
      <c r="F26" s="54"/>
      <c r="G26" s="55"/>
      <c r="H26" s="54"/>
      <c r="I26" s="54"/>
      <c r="J26" s="54"/>
      <c r="K26" s="63"/>
      <c r="L26" s="64"/>
      <c r="M26" s="64"/>
      <c r="N26" s="64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G26" s="66"/>
    </row>
    <row r="27" spans="1:33">
      <c r="A27" s="67" t="s">
        <v>30</v>
      </c>
      <c r="B27" s="54"/>
      <c r="C27" s="54"/>
      <c r="D27" s="55"/>
      <c r="E27" s="54"/>
      <c r="F27" s="54"/>
      <c r="G27" s="55"/>
      <c r="H27" s="54"/>
      <c r="I27" s="54"/>
      <c r="J27" s="54"/>
      <c r="K27" s="164"/>
      <c r="L27" s="64"/>
      <c r="M27" s="64"/>
      <c r="N27" s="64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G27" s="66"/>
    </row>
    <row r="28" spans="1:33">
      <c r="A28" s="54" t="s">
        <v>43</v>
      </c>
      <c r="B28" s="54"/>
      <c r="C28" s="54"/>
      <c r="D28" s="55"/>
      <c r="E28" s="54"/>
      <c r="F28" s="54"/>
      <c r="G28" s="55"/>
      <c r="H28" s="54"/>
      <c r="I28" s="54"/>
      <c r="J28" s="54"/>
      <c r="K28" s="63"/>
      <c r="L28" s="64"/>
      <c r="M28" s="165"/>
      <c r="N28" s="165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G28" s="66"/>
    </row>
    <row r="29" spans="1:33">
      <c r="A29" s="54" t="s">
        <v>41</v>
      </c>
      <c r="B29" s="54"/>
      <c r="C29" s="55">
        <v>11996380</v>
      </c>
      <c r="D29" s="68">
        <f>'Exh. JAP-39 (Tariff)'!E8</f>
        <v>7.49</v>
      </c>
      <c r="E29" s="54"/>
      <c r="F29" s="57">
        <f>ROUND(D29*$C29,0)</f>
        <v>89852886</v>
      </c>
      <c r="G29" s="68">
        <v>9</v>
      </c>
      <c r="H29" s="54"/>
      <c r="I29" s="57">
        <f>ROUND(G29*$C29,0)</f>
        <v>107967420</v>
      </c>
      <c r="J29" s="57"/>
      <c r="K29" s="309" t="s">
        <v>89</v>
      </c>
      <c r="L29" s="309"/>
      <c r="M29" s="309"/>
      <c r="N29" s="173" t="s">
        <v>0</v>
      </c>
      <c r="Z29" s="63"/>
      <c r="AA29" s="63"/>
      <c r="AB29" s="63"/>
      <c r="AC29" s="63"/>
      <c r="AD29" s="63"/>
      <c r="AE29" s="63"/>
      <c r="AG29" s="66"/>
    </row>
    <row r="30" spans="1:33">
      <c r="A30" s="54" t="s">
        <v>42</v>
      </c>
      <c r="B30" s="54"/>
      <c r="C30" s="55">
        <v>2918</v>
      </c>
      <c r="D30" s="68">
        <f>'Exh. JAP-39 (Tariff)'!E9</f>
        <v>17.989999999999998</v>
      </c>
      <c r="E30" s="54"/>
      <c r="F30" s="57">
        <f>ROUND(D30*$C30,0)</f>
        <v>52495</v>
      </c>
      <c r="G30" s="68">
        <f>ROUND(I29/F29*F30/C30,1)</f>
        <v>21.6</v>
      </c>
      <c r="H30" s="54"/>
      <c r="I30" s="57">
        <f>ROUND(G30*$C30,0)</f>
        <v>63029</v>
      </c>
      <c r="J30" s="57"/>
      <c r="K30" s="309" t="s">
        <v>90</v>
      </c>
      <c r="L30" s="309"/>
      <c r="M30" s="309"/>
      <c r="N30" s="173" t="s">
        <v>0</v>
      </c>
      <c r="Z30" s="63"/>
      <c r="AA30" s="63"/>
      <c r="AB30" s="63"/>
      <c r="AC30" s="63"/>
      <c r="AD30" s="63"/>
      <c r="AE30" s="63"/>
      <c r="AG30" s="66"/>
    </row>
    <row r="31" spans="1:33">
      <c r="A31" s="80" t="s">
        <v>36</v>
      </c>
      <c r="B31" s="54"/>
      <c r="C31" s="100">
        <f>SUM(C29:C30)</f>
        <v>11999298</v>
      </c>
      <c r="D31" s="93"/>
      <c r="E31" s="54"/>
      <c r="F31" s="99">
        <f>SUM(F29:F30)</f>
        <v>89905381</v>
      </c>
      <c r="G31" s="93"/>
      <c r="H31" s="54"/>
      <c r="I31" s="99">
        <f>SUM(I29:I30)</f>
        <v>108030449</v>
      </c>
      <c r="J31" s="57"/>
      <c r="K31" s="309"/>
      <c r="L31" s="309"/>
      <c r="M31" s="309"/>
      <c r="N31" s="173"/>
      <c r="Z31" s="63"/>
      <c r="AA31" s="63"/>
      <c r="AB31" s="63"/>
      <c r="AC31" s="63"/>
      <c r="AD31" s="63"/>
      <c r="AE31" s="63"/>
      <c r="AG31" s="66"/>
    </row>
    <row r="32" spans="1:33">
      <c r="A32" s="54" t="s">
        <v>97</v>
      </c>
      <c r="B32" s="54"/>
      <c r="C32" s="81"/>
      <c r="D32" s="93"/>
      <c r="E32" s="54"/>
      <c r="F32" s="69"/>
      <c r="G32" s="93"/>
      <c r="H32" s="54"/>
      <c r="I32" s="69"/>
      <c r="J32" s="57"/>
      <c r="K32" s="277"/>
      <c r="L32" s="277"/>
      <c r="M32" s="277"/>
      <c r="N32" s="173"/>
      <c r="Z32" s="63"/>
      <c r="AA32" s="63"/>
      <c r="AB32" s="63"/>
      <c r="AC32" s="63"/>
      <c r="AD32" s="63"/>
      <c r="AE32" s="63"/>
      <c r="AG32" s="66"/>
    </row>
    <row r="33" spans="1:33">
      <c r="A33" s="74" t="s">
        <v>86</v>
      </c>
      <c r="B33" s="54"/>
      <c r="C33" s="55">
        <v>5973778123</v>
      </c>
      <c r="D33" s="73">
        <f>'Exh. JAP-39 (Tariff)'!E11</f>
        <v>8.5578000000000001E-2</v>
      </c>
      <c r="E33" s="54"/>
      <c r="F33" s="57">
        <f t="shared" ref="F33:F36" si="0">ROUND(D33*$C33,0)</f>
        <v>511223984</v>
      </c>
      <c r="G33" s="73">
        <v>9.5377000000000003E-2</v>
      </c>
      <c r="H33" s="54"/>
      <c r="I33" s="57">
        <f t="shared" ref="I33:I36" si="1">ROUND(G33*$C33,0)</f>
        <v>569761036</v>
      </c>
      <c r="J33" s="57"/>
      <c r="K33" s="309" t="s">
        <v>370</v>
      </c>
      <c r="L33" s="309"/>
      <c r="M33" s="309"/>
      <c r="N33" s="72"/>
      <c r="O33" s="72"/>
      <c r="Q33" s="72"/>
      <c r="S33" s="66"/>
      <c r="T33" s="66"/>
      <c r="U33" s="72"/>
      <c r="Z33" s="63"/>
      <c r="AA33" s="63"/>
      <c r="AB33" s="63"/>
      <c r="AC33" s="63"/>
      <c r="AD33" s="63"/>
      <c r="AE33" s="63"/>
      <c r="AG33" s="66"/>
    </row>
    <row r="34" spans="1:33">
      <c r="A34" s="76" t="s">
        <v>84</v>
      </c>
      <c r="B34" s="54"/>
      <c r="C34" s="55">
        <v>1168812410</v>
      </c>
      <c r="D34" s="73">
        <f>'Exh. JAP-39 (Tariff)'!E12</f>
        <v>0.104157</v>
      </c>
      <c r="E34" s="54"/>
      <c r="F34" s="57">
        <f t="shared" si="0"/>
        <v>121739994</v>
      </c>
      <c r="G34" s="73">
        <f>G33</f>
        <v>9.5377000000000003E-2</v>
      </c>
      <c r="H34" s="54"/>
      <c r="I34" s="57">
        <f t="shared" si="1"/>
        <v>111477821</v>
      </c>
      <c r="J34" s="57"/>
      <c r="K34" s="309"/>
      <c r="L34" s="309"/>
      <c r="M34" s="309"/>
      <c r="N34" s="72"/>
      <c r="O34" s="72"/>
      <c r="Q34" s="72"/>
      <c r="S34" s="174"/>
      <c r="T34" s="174"/>
      <c r="U34" s="72"/>
      <c r="Z34" s="63"/>
      <c r="AA34" s="63"/>
      <c r="AB34" s="63"/>
      <c r="AC34" s="63"/>
      <c r="AD34" s="63"/>
      <c r="AE34" s="63"/>
      <c r="AG34" s="66"/>
    </row>
    <row r="35" spans="1:33" ht="15.6" customHeight="1">
      <c r="A35" s="76" t="s">
        <v>85</v>
      </c>
      <c r="B35" s="54"/>
      <c r="C35" s="55">
        <v>2302258119</v>
      </c>
      <c r="D35" s="73">
        <f>D34</f>
        <v>0.104157</v>
      </c>
      <c r="E35" s="54"/>
      <c r="F35" s="57">
        <f t="shared" si="0"/>
        <v>239796299</v>
      </c>
      <c r="G35" s="73">
        <f>ROUND(G33*D34/D33,6)</f>
        <v>0.11608300000000001</v>
      </c>
      <c r="H35" s="54"/>
      <c r="I35" s="57">
        <f t="shared" si="1"/>
        <v>267253029</v>
      </c>
      <c r="J35" s="57"/>
      <c r="K35" s="309" t="s">
        <v>369</v>
      </c>
      <c r="L35" s="309"/>
      <c r="M35" s="309"/>
      <c r="N35" s="309"/>
      <c r="O35" s="72"/>
      <c r="Q35" s="72"/>
      <c r="S35" s="174"/>
      <c r="T35" s="174"/>
      <c r="U35" s="72"/>
      <c r="Z35" s="63"/>
      <c r="AA35" s="63"/>
      <c r="AB35" s="63"/>
      <c r="AC35" s="63"/>
      <c r="AD35" s="63"/>
      <c r="AE35" s="63"/>
      <c r="AG35" s="66"/>
    </row>
    <row r="36" spans="1:33">
      <c r="A36" s="76" t="s">
        <v>87</v>
      </c>
      <c r="B36" s="54"/>
      <c r="C36" s="55">
        <v>782968093</v>
      </c>
      <c r="D36" s="73">
        <f>D35</f>
        <v>0.104157</v>
      </c>
      <c r="E36" s="54"/>
      <c r="F36" s="57">
        <f t="shared" si="0"/>
        <v>81551608</v>
      </c>
      <c r="G36" s="73">
        <v>9.7774E-2</v>
      </c>
      <c r="H36" s="54"/>
      <c r="I36" s="57">
        <f t="shared" si="1"/>
        <v>76553922</v>
      </c>
      <c r="J36" s="57"/>
      <c r="K36" s="309" t="s">
        <v>91</v>
      </c>
      <c r="L36" s="309"/>
      <c r="M36" s="309"/>
      <c r="N36" s="72"/>
      <c r="O36" s="72"/>
      <c r="Q36" s="72"/>
      <c r="S36" s="174"/>
      <c r="T36" s="174"/>
      <c r="U36" s="72"/>
      <c r="Z36" s="63"/>
      <c r="AA36" s="63"/>
      <c r="AB36" s="63"/>
      <c r="AC36" s="63"/>
      <c r="AD36" s="63"/>
      <c r="AE36" s="63"/>
      <c r="AG36" s="66"/>
    </row>
    <row r="37" spans="1:33">
      <c r="A37" s="80" t="s">
        <v>36</v>
      </c>
      <c r="B37" s="167"/>
      <c r="C37" s="100">
        <f>SUM(C33:C36)</f>
        <v>10227816745</v>
      </c>
      <c r="D37" s="168"/>
      <c r="E37" s="57"/>
      <c r="F37" s="99">
        <f>SUM(F33:F36)</f>
        <v>954311885</v>
      </c>
      <c r="G37" s="57"/>
      <c r="H37" s="57"/>
      <c r="I37" s="99">
        <f>SUM(I33:I36)</f>
        <v>1025045808</v>
      </c>
      <c r="J37" s="57"/>
      <c r="K37" s="309"/>
      <c r="L37" s="309"/>
      <c r="M37" s="309"/>
      <c r="Z37" s="63"/>
      <c r="AA37" s="63"/>
      <c r="AB37" s="63"/>
      <c r="AC37" s="63"/>
      <c r="AD37" s="63"/>
      <c r="AE37" s="63"/>
      <c r="AG37" s="66"/>
    </row>
    <row r="38" spans="1:33">
      <c r="A38" s="76" t="s">
        <v>83</v>
      </c>
      <c r="B38" s="54"/>
      <c r="C38" s="55">
        <v>242969649</v>
      </c>
      <c r="D38" s="73">
        <f>D36</f>
        <v>0.104157</v>
      </c>
      <c r="E38" s="54"/>
      <c r="F38" s="57">
        <f t="shared" ref="F38:F39" si="2">ROUND(D38*$C38,0)</f>
        <v>25306990</v>
      </c>
      <c r="G38" s="73">
        <f>G36</f>
        <v>9.7774E-2</v>
      </c>
      <c r="H38" s="54"/>
      <c r="I38" s="57">
        <f t="shared" ref="I38:I39" si="3">ROUND(G38*$C38,0)</f>
        <v>23756114</v>
      </c>
      <c r="J38" s="57"/>
      <c r="K38" s="309" t="s">
        <v>92</v>
      </c>
      <c r="L38" s="309"/>
      <c r="M38" s="309"/>
      <c r="N38" s="72"/>
      <c r="O38" s="72"/>
      <c r="Q38" s="72"/>
      <c r="S38" s="174"/>
      <c r="T38" s="174"/>
      <c r="U38" s="72"/>
      <c r="Z38" s="63"/>
      <c r="AA38" s="63"/>
      <c r="AB38" s="63"/>
      <c r="AC38" s="63"/>
      <c r="AD38" s="63"/>
      <c r="AE38" s="63"/>
      <c r="AG38" s="66"/>
    </row>
    <row r="39" spans="1:33">
      <c r="A39" s="76" t="s">
        <v>88</v>
      </c>
      <c r="B39" s="60"/>
      <c r="C39" s="55">
        <v>-28359904.933104038</v>
      </c>
      <c r="D39" s="73">
        <f>ROUND(SUM($F$31,$F$37,$F$38)/SUM($C$37:$C$38),6)</f>
        <v>0.102144</v>
      </c>
      <c r="E39" s="54"/>
      <c r="F39" s="57">
        <f t="shared" si="2"/>
        <v>-2896794</v>
      </c>
      <c r="G39" s="73">
        <f>ROUND(SUM($I$31,$I$37,$I$38)/SUM($C$37:$C$38),6)</f>
        <v>0.110482</v>
      </c>
      <c r="H39" s="54"/>
      <c r="I39" s="57">
        <f t="shared" si="3"/>
        <v>-3133259</v>
      </c>
      <c r="J39" s="69"/>
      <c r="K39" s="309" t="s">
        <v>93</v>
      </c>
      <c r="L39" s="309"/>
      <c r="M39" s="309"/>
      <c r="Z39" s="63"/>
      <c r="AA39" s="63"/>
      <c r="AB39" s="63"/>
      <c r="AC39" s="63"/>
      <c r="AD39" s="63"/>
      <c r="AE39" s="63"/>
      <c r="AG39" s="66"/>
    </row>
    <row r="40" spans="1:33" ht="16.5" thickBot="1">
      <c r="A40" s="54" t="s">
        <v>37</v>
      </c>
      <c r="B40" s="54"/>
      <c r="C40" s="169">
        <f>SUM(C37:C39)</f>
        <v>10442426489.066896</v>
      </c>
      <c r="D40" s="73"/>
      <c r="E40" s="54"/>
      <c r="F40" s="62">
        <f>SUM(F37:F39,F31)</f>
        <v>1066627462</v>
      </c>
      <c r="G40" s="54"/>
      <c r="H40" s="54"/>
      <c r="I40" s="62">
        <f>SUM(I37:I39,I31)</f>
        <v>1153699112</v>
      </c>
      <c r="J40" s="89"/>
      <c r="K40" s="90" t="s">
        <v>38</v>
      </c>
      <c r="L40" s="170">
        <f>'Exh. JAP-39 (Rate Spread)'!K8*1000</f>
        <v>1153700906.9089384</v>
      </c>
      <c r="M40" s="92">
        <f>L40/F40-1</f>
        <v>8.1634355021827032E-2</v>
      </c>
      <c r="N40" s="85"/>
      <c r="O40" s="44" t="s">
        <v>0</v>
      </c>
      <c r="P40" s="44" t="s">
        <v>0</v>
      </c>
      <c r="Z40" s="63"/>
      <c r="AA40" s="63"/>
      <c r="AB40" s="63"/>
      <c r="AC40" s="63"/>
      <c r="AD40" s="63"/>
      <c r="AE40" s="63"/>
      <c r="AG40" s="66"/>
    </row>
    <row r="41" spans="1:33" ht="16.5" thickTop="1">
      <c r="A41" s="54"/>
      <c r="B41" s="54"/>
      <c r="C41" s="81"/>
      <c r="D41" s="69"/>
      <c r="E41" s="69"/>
      <c r="F41" s="69"/>
      <c r="G41" s="69"/>
      <c r="H41" s="69"/>
      <c r="I41" s="69"/>
      <c r="J41" s="69"/>
      <c r="K41" s="94" t="s">
        <v>39</v>
      </c>
      <c r="L41" s="171">
        <f>L40-I40</f>
        <v>1794.9089384078979</v>
      </c>
      <c r="M41" s="172"/>
      <c r="N41" s="85"/>
      <c r="Z41" s="63"/>
      <c r="AA41" s="63"/>
      <c r="AB41" s="63"/>
      <c r="AC41" s="63"/>
      <c r="AD41" s="63"/>
      <c r="AE41" s="63"/>
      <c r="AG41" s="66"/>
    </row>
    <row r="42" spans="1:33">
      <c r="A42" s="54"/>
      <c r="B42" s="54"/>
      <c r="C42" s="81"/>
      <c r="D42" s="73"/>
      <c r="E42" s="69"/>
      <c r="F42" s="69"/>
      <c r="G42" s="69"/>
      <c r="H42" s="69"/>
      <c r="I42" s="69"/>
      <c r="J42" s="69"/>
      <c r="K42" s="175"/>
      <c r="L42" s="176"/>
      <c r="M42" s="177"/>
      <c r="N42" s="85"/>
      <c r="Z42" s="63"/>
      <c r="AA42" s="63"/>
      <c r="AB42" s="63"/>
      <c r="AC42" s="63"/>
      <c r="AD42" s="63"/>
      <c r="AE42" s="63"/>
      <c r="AG42" s="66"/>
    </row>
    <row r="43" spans="1:33">
      <c r="A43" s="54"/>
      <c r="B43" s="143"/>
      <c r="C43" s="55"/>
      <c r="D43" s="54" t="s">
        <v>0</v>
      </c>
      <c r="E43" s="54"/>
      <c r="G43" s="54" t="s">
        <v>0</v>
      </c>
      <c r="H43" s="54"/>
      <c r="I43" s="57" t="s">
        <v>0</v>
      </c>
      <c r="J43" s="57"/>
      <c r="K43" s="63"/>
      <c r="L43" s="64"/>
      <c r="M43" s="64"/>
      <c r="N43" s="64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G43" s="66"/>
    </row>
    <row r="45" spans="1:33">
      <c r="C45" s="55"/>
      <c r="D45" s="54" t="s">
        <v>0</v>
      </c>
      <c r="E45" s="55"/>
      <c r="F45" s="57"/>
      <c r="G45" s="54" t="s">
        <v>0</v>
      </c>
      <c r="H45" s="55"/>
      <c r="I45" s="57" t="s">
        <v>0</v>
      </c>
      <c r="J45" s="57"/>
      <c r="K45" s="63"/>
      <c r="L45" s="64"/>
      <c r="M45" s="64"/>
    </row>
    <row r="49" spans="7:11">
      <c r="G49" s="118"/>
      <c r="K49" s="88"/>
    </row>
    <row r="50" spans="7:11">
      <c r="G50" s="118"/>
      <c r="K50" s="88"/>
    </row>
  </sheetData>
  <mergeCells count="23">
    <mergeCell ref="K21:M21"/>
    <mergeCell ref="K20:M20"/>
    <mergeCell ref="K22:M22"/>
    <mergeCell ref="K14:M14"/>
    <mergeCell ref="K15:M15"/>
    <mergeCell ref="K16:M16"/>
    <mergeCell ref="K18:M18"/>
    <mergeCell ref="K19:M19"/>
    <mergeCell ref="K36:M36"/>
    <mergeCell ref="K37:M37"/>
    <mergeCell ref="K38:M38"/>
    <mergeCell ref="K39:M39"/>
    <mergeCell ref="K35:N35"/>
    <mergeCell ref="K29:M29"/>
    <mergeCell ref="K30:M30"/>
    <mergeCell ref="K31:M31"/>
    <mergeCell ref="K33:M33"/>
    <mergeCell ref="K34:M34"/>
    <mergeCell ref="A2:J2"/>
    <mergeCell ref="A3:I3"/>
    <mergeCell ref="A4:I4"/>
    <mergeCell ref="D9:F9"/>
    <mergeCell ref="G9:I9"/>
  </mergeCells>
  <printOptions horizontalCentered="1"/>
  <pageMargins left="0.7" right="0.7" top="0.75" bottom="0.71" header="0.3" footer="0.3"/>
  <pageSetup scale="76" orientation="landscape" r:id="rId1"/>
  <headerFooter alignWithMargins="0">
    <oddFooter>&amp;RExhibit No.___(JAP-39)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8"/>
  <dimension ref="A1:AN129"/>
  <sheetViews>
    <sheetView view="pageBreakPreview" zoomScale="80" zoomScaleNormal="100" zoomScaleSheetLayoutView="80" workbookViewId="0">
      <pane ySplit="10" topLeftCell="A11" activePane="bottomLeft" state="frozen"/>
      <selection sqref="A1:XFD1048576"/>
      <selection pane="bottomLeft" activeCell="F24" sqref="F24"/>
    </sheetView>
  </sheetViews>
  <sheetFormatPr defaultColWidth="10.25" defaultRowHeight="15.75"/>
  <cols>
    <col min="1" max="1" width="42.375" style="44" bestFit="1" customWidth="1"/>
    <col min="2" max="2" width="1.375" style="44" bestFit="1" customWidth="1"/>
    <col min="3" max="3" width="13.25" style="44" bestFit="1" customWidth="1"/>
    <col min="4" max="4" width="12.75" style="44" bestFit="1" customWidth="1"/>
    <col min="5" max="5" width="2" style="44" bestFit="1" customWidth="1"/>
    <col min="6" max="6" width="12.625" style="44" bestFit="1" customWidth="1"/>
    <col min="7" max="7" width="14.5" style="44" customWidth="1"/>
    <col min="8" max="8" width="2" style="44" bestFit="1" customWidth="1"/>
    <col min="9" max="9" width="14.5" style="44" customWidth="1"/>
    <col min="10" max="10" width="1.625" style="44" customWidth="1"/>
    <col min="11" max="11" width="38.75" style="44" bestFit="1" customWidth="1"/>
    <col min="12" max="12" width="12.625" style="65" bestFit="1" customWidth="1"/>
    <col min="13" max="13" width="10.25" style="65" bestFit="1" customWidth="1"/>
    <col min="14" max="14" width="7.125" style="65" bestFit="1" customWidth="1"/>
    <col min="15" max="15" width="9.75" style="44" bestFit="1" customWidth="1"/>
    <col min="16" max="17" width="1.375" style="44" bestFit="1" customWidth="1"/>
    <col min="18" max="18" width="14.125" style="44" bestFit="1" customWidth="1"/>
    <col min="19" max="19" width="1.375" style="44" bestFit="1" customWidth="1"/>
    <col min="20" max="20" width="13.25" style="44" bestFit="1" customWidth="1"/>
    <col min="21" max="21" width="13" style="44" bestFit="1" customWidth="1"/>
    <col min="22" max="22" width="12.25" style="44" bestFit="1" customWidth="1"/>
    <col min="23" max="23" width="5.5" style="44" bestFit="1" customWidth="1"/>
    <col min="24" max="24" width="1.375" style="44" bestFit="1" customWidth="1"/>
    <col min="25" max="25" width="10.25" style="44" customWidth="1"/>
    <col min="26" max="26" width="12.125" style="44" customWidth="1"/>
    <col min="27" max="16384" width="10.25" style="44"/>
  </cols>
  <sheetData>
    <row r="1" spans="1:40">
      <c r="K1" s="63"/>
      <c r="L1" s="64"/>
      <c r="M1" s="64"/>
      <c r="N1" s="64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</row>
    <row r="2" spans="1:40" ht="18.75">
      <c r="A2" s="311" t="s">
        <v>54</v>
      </c>
      <c r="B2" s="311"/>
      <c r="C2" s="311"/>
      <c r="D2" s="311"/>
      <c r="E2" s="311"/>
      <c r="F2" s="311"/>
      <c r="G2" s="311"/>
      <c r="H2" s="311"/>
      <c r="I2" s="311"/>
      <c r="J2" s="311"/>
      <c r="K2" s="63"/>
      <c r="L2" s="64"/>
      <c r="M2" s="64"/>
      <c r="N2" s="64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1:40">
      <c r="A3" s="330" t="str">
        <f>'Exh. JAP-39 (Prof-Prop)'!$B$6</f>
        <v>12 MONTHS ENDED SEPTEMBER 2016</v>
      </c>
      <c r="B3" s="330"/>
      <c r="C3" s="330"/>
      <c r="D3" s="330"/>
      <c r="E3" s="330"/>
      <c r="F3" s="330"/>
      <c r="G3" s="330"/>
      <c r="H3" s="330"/>
      <c r="I3" s="330"/>
      <c r="J3" s="140"/>
      <c r="K3" s="63"/>
      <c r="L3" s="64"/>
      <c r="M3" s="64"/>
      <c r="N3" s="64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</row>
    <row r="4" spans="1:40">
      <c r="A4" s="304" t="s">
        <v>31</v>
      </c>
      <c r="B4" s="304"/>
      <c r="C4" s="304"/>
      <c r="D4" s="304"/>
      <c r="E4" s="304"/>
      <c r="F4" s="304"/>
      <c r="G4" s="304"/>
      <c r="H4" s="304"/>
      <c r="I4" s="304"/>
      <c r="J4" s="45"/>
      <c r="K4" s="63"/>
      <c r="L4" s="64"/>
      <c r="M4" s="64"/>
      <c r="N4" s="64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</row>
    <row r="5" spans="1:40">
      <c r="A5" s="46" t="s">
        <v>112</v>
      </c>
      <c r="B5" s="141"/>
      <c r="C5" s="141"/>
      <c r="D5" s="142"/>
      <c r="E5" s="142"/>
      <c r="F5" s="141"/>
      <c r="G5" s="142"/>
      <c r="H5" s="141"/>
      <c r="I5" s="141"/>
      <c r="J5" s="141"/>
      <c r="K5" s="63"/>
      <c r="L5" s="64"/>
      <c r="M5" s="64"/>
      <c r="N5" s="64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</row>
    <row r="6" spans="1:40">
      <c r="A6" s="46"/>
      <c r="B6" s="141"/>
      <c r="C6" s="141"/>
      <c r="D6" s="142"/>
      <c r="E6" s="142"/>
      <c r="F6" s="141"/>
      <c r="G6" s="142"/>
      <c r="H6" s="141"/>
      <c r="I6" s="141"/>
      <c r="J6" s="141"/>
      <c r="K6" s="63"/>
      <c r="L6" s="64"/>
      <c r="M6" s="64"/>
      <c r="N6" s="64"/>
      <c r="O6" s="64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</row>
    <row r="7" spans="1:40">
      <c r="A7" s="141"/>
      <c r="B7" s="141"/>
      <c r="C7" s="141"/>
      <c r="D7" s="142"/>
      <c r="E7" s="142"/>
      <c r="F7" s="141"/>
      <c r="G7" s="142"/>
      <c r="H7" s="141"/>
      <c r="I7" s="141"/>
      <c r="J7" s="141"/>
      <c r="K7" s="63"/>
      <c r="L7" s="64"/>
      <c r="M7" s="64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</row>
    <row r="8" spans="1:40">
      <c r="A8" s="48"/>
      <c r="B8" s="48"/>
      <c r="C8" s="47"/>
      <c r="D8" s="48"/>
      <c r="E8" s="48"/>
      <c r="G8" s="48"/>
      <c r="H8" s="49"/>
      <c r="I8" s="49"/>
      <c r="J8" s="49"/>
      <c r="K8" s="63"/>
      <c r="L8" s="64"/>
      <c r="M8" s="64"/>
      <c r="N8" s="64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</row>
    <row r="9" spans="1:40">
      <c r="A9" s="48"/>
      <c r="B9" s="48"/>
      <c r="C9" s="47" t="s">
        <v>32</v>
      </c>
      <c r="D9" s="305" t="s">
        <v>3</v>
      </c>
      <c r="E9" s="306"/>
      <c r="F9" s="307"/>
      <c r="G9" s="308" t="str">
        <f>'Exh. JAP-39 (Res RD)'!$G$9</f>
        <v>Proposed Effective December 2017</v>
      </c>
      <c r="H9" s="306"/>
      <c r="I9" s="307"/>
      <c r="J9" s="49"/>
      <c r="K9" s="63"/>
      <c r="L9" s="64"/>
      <c r="M9" s="64"/>
      <c r="N9" s="64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</row>
    <row r="10" spans="1:40">
      <c r="A10" s="48"/>
      <c r="B10" s="48"/>
      <c r="C10" s="51" t="s">
        <v>33</v>
      </c>
      <c r="D10" s="52" t="s">
        <v>34</v>
      </c>
      <c r="E10" s="53"/>
      <c r="F10" s="49" t="s">
        <v>35</v>
      </c>
      <c r="G10" s="52" t="s">
        <v>34</v>
      </c>
      <c r="H10" s="52"/>
      <c r="I10" s="52" t="s">
        <v>35</v>
      </c>
      <c r="J10" s="52"/>
      <c r="K10" s="63"/>
      <c r="L10" s="64"/>
      <c r="M10" s="64"/>
      <c r="N10" s="64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</row>
    <row r="11" spans="1:40">
      <c r="A11" s="54"/>
      <c r="B11" s="143"/>
      <c r="C11" s="55"/>
      <c r="D11" s="54" t="s">
        <v>0</v>
      </c>
      <c r="E11" s="54"/>
      <c r="G11" s="54" t="s">
        <v>0</v>
      </c>
      <c r="H11" s="54"/>
      <c r="I11" s="57" t="s">
        <v>0</v>
      </c>
      <c r="J11" s="57"/>
      <c r="K11" s="63"/>
      <c r="L11" s="64"/>
      <c r="M11" s="64"/>
      <c r="N11" s="64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G11" s="66"/>
    </row>
    <row r="12" spans="1:40">
      <c r="A12" s="67" t="s">
        <v>121</v>
      </c>
      <c r="B12" s="54"/>
      <c r="C12" s="54" t="s">
        <v>0</v>
      </c>
      <c r="D12" s="57"/>
      <c r="E12" s="54"/>
      <c r="F12" s="54"/>
      <c r="G12" s="57"/>
      <c r="H12" s="54"/>
      <c r="I12" s="54"/>
      <c r="J12" s="54"/>
      <c r="K12" s="63"/>
      <c r="L12" s="64"/>
      <c r="M12" s="64"/>
      <c r="N12" s="64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G12" s="66"/>
    </row>
    <row r="13" spans="1:40">
      <c r="A13" s="67" t="s">
        <v>102</v>
      </c>
      <c r="B13" s="54"/>
      <c r="C13" s="54"/>
      <c r="D13" s="57"/>
      <c r="E13" s="54"/>
      <c r="F13" s="54"/>
      <c r="G13" s="57"/>
      <c r="H13" s="54"/>
      <c r="I13" s="54"/>
      <c r="J13" s="54"/>
      <c r="K13" s="63"/>
      <c r="L13" s="64"/>
      <c r="M13" s="64"/>
      <c r="N13" s="64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G13" s="66"/>
    </row>
    <row r="14" spans="1:40">
      <c r="A14" s="54" t="s">
        <v>43</v>
      </c>
      <c r="B14" s="54"/>
      <c r="C14" s="55"/>
      <c r="D14" s="57"/>
      <c r="E14" s="54"/>
      <c r="F14" s="54"/>
      <c r="G14" s="57"/>
      <c r="H14" s="54"/>
      <c r="I14" s="54"/>
      <c r="J14" s="54"/>
      <c r="M14" s="70"/>
      <c r="N14" s="70"/>
      <c r="P14" s="66"/>
      <c r="Q14" s="71"/>
      <c r="R14" s="66"/>
      <c r="S14" s="71"/>
      <c r="T14" s="66"/>
      <c r="U14" s="66"/>
      <c r="V14" s="71"/>
      <c r="W14" s="72"/>
      <c r="X14" s="66"/>
      <c r="Y14" s="66"/>
      <c r="AG14" s="63"/>
      <c r="AH14" s="63"/>
      <c r="AI14" s="63"/>
      <c r="AJ14" s="63"/>
      <c r="AK14" s="63"/>
      <c r="AL14" s="63"/>
      <c r="AN14" s="66"/>
    </row>
    <row r="15" spans="1:40">
      <c r="A15" s="54" t="s">
        <v>41</v>
      </c>
      <c r="B15" s="54"/>
      <c r="C15" s="55">
        <v>1066064</v>
      </c>
      <c r="D15" s="68">
        <f>'Exh. JAP-39 (Tariff)'!E15</f>
        <v>9.66</v>
      </c>
      <c r="E15" s="54"/>
      <c r="F15" s="57">
        <f>ROUND(D15*$C15,0)</f>
        <v>10298178</v>
      </c>
      <c r="G15" s="68">
        <f>ROUND(D15*(1+$M$25),2)</f>
        <v>10.25</v>
      </c>
      <c r="H15" s="54"/>
      <c r="I15" s="57">
        <f>ROUND(G15*$C15,0)</f>
        <v>10927156</v>
      </c>
      <c r="J15" s="69"/>
      <c r="K15" s="310" t="s">
        <v>100</v>
      </c>
      <c r="L15" s="310"/>
      <c r="M15" s="310"/>
      <c r="N15" s="86"/>
      <c r="P15" s="66"/>
      <c r="Q15" s="71"/>
      <c r="R15" s="66"/>
      <c r="S15" s="71"/>
      <c r="T15" s="66"/>
      <c r="U15" s="66"/>
      <c r="V15" s="71"/>
      <c r="W15" s="72"/>
      <c r="X15" s="66"/>
      <c r="Y15" s="66"/>
      <c r="AG15" s="63"/>
      <c r="AH15" s="63"/>
      <c r="AI15" s="63"/>
      <c r="AJ15" s="63"/>
      <c r="AK15" s="63"/>
      <c r="AL15" s="63"/>
      <c r="AN15" s="66"/>
    </row>
    <row r="16" spans="1:40">
      <c r="A16" s="54" t="s">
        <v>42</v>
      </c>
      <c r="B16" s="54"/>
      <c r="C16" s="55">
        <v>455851</v>
      </c>
      <c r="D16" s="68">
        <f>'Exh. JAP-39 (Tariff)'!E16</f>
        <v>24.55</v>
      </c>
      <c r="E16" s="144"/>
      <c r="F16" s="57">
        <f>ROUND(D16*$C16,0)</f>
        <v>11191142</v>
      </c>
      <c r="G16" s="68">
        <f>ROUND(D16*(1+$M$25),2)</f>
        <v>26.05</v>
      </c>
      <c r="H16" s="144"/>
      <c r="I16" s="57">
        <f>ROUND(G16*$C16,0)</f>
        <v>11874919</v>
      </c>
      <c r="J16" s="69"/>
      <c r="K16" s="310" t="s">
        <v>100</v>
      </c>
      <c r="L16" s="310"/>
      <c r="M16" s="310"/>
      <c r="N16" s="86"/>
      <c r="O16" s="65"/>
      <c r="P16" s="66"/>
      <c r="Q16" s="71"/>
      <c r="R16" s="66"/>
      <c r="S16" s="145"/>
      <c r="T16" s="66"/>
      <c r="U16" s="66"/>
      <c r="V16" s="145"/>
      <c r="X16" s="63"/>
      <c r="Y16" s="63"/>
      <c r="Z16" s="63"/>
      <c r="AA16" s="63"/>
      <c r="AB16" s="63"/>
      <c r="AC16" s="63"/>
      <c r="AD16" s="63"/>
      <c r="AE16" s="63"/>
      <c r="AG16" s="66"/>
    </row>
    <row r="17" spans="1:33">
      <c r="A17" s="80" t="s">
        <v>36</v>
      </c>
      <c r="B17" s="54"/>
      <c r="C17" s="100">
        <f>SUM(C15:C16)</f>
        <v>1521915</v>
      </c>
      <c r="D17" s="93"/>
      <c r="E17" s="54"/>
      <c r="F17" s="99">
        <f>SUM(F15:F16)</f>
        <v>21489320</v>
      </c>
      <c r="G17" s="93"/>
      <c r="H17" s="54"/>
      <c r="I17" s="99">
        <f>SUM(I15:I16)</f>
        <v>22802075</v>
      </c>
      <c r="J17" s="69"/>
      <c r="K17" s="278"/>
      <c r="M17" s="70"/>
      <c r="N17" s="70"/>
      <c r="O17" s="65"/>
      <c r="X17" s="63"/>
      <c r="Y17" s="63"/>
      <c r="Z17" s="63"/>
      <c r="AA17" s="63"/>
      <c r="AB17" s="63"/>
      <c r="AC17" s="63"/>
      <c r="AD17" s="63"/>
      <c r="AE17" s="63"/>
      <c r="AG17" s="66"/>
    </row>
    <row r="18" spans="1:33">
      <c r="A18" s="54" t="s">
        <v>97</v>
      </c>
      <c r="B18" s="54"/>
      <c r="C18" s="55"/>
      <c r="D18" s="93"/>
      <c r="E18" s="54"/>
      <c r="F18" s="69"/>
      <c r="G18" s="93"/>
      <c r="H18" s="54"/>
      <c r="I18" s="69"/>
      <c r="J18" s="69"/>
      <c r="K18" s="278"/>
      <c r="M18" s="70"/>
      <c r="N18" s="70"/>
      <c r="O18" s="65"/>
      <c r="X18" s="63"/>
      <c r="Y18" s="63"/>
      <c r="Z18" s="63"/>
      <c r="AA18" s="63"/>
      <c r="AB18" s="63"/>
      <c r="AC18" s="63"/>
      <c r="AD18" s="63"/>
      <c r="AE18" s="63"/>
      <c r="AG18" s="66"/>
    </row>
    <row r="19" spans="1:33">
      <c r="A19" s="74" t="s">
        <v>95</v>
      </c>
      <c r="B19" s="54"/>
      <c r="C19" s="55">
        <v>1448584632</v>
      </c>
      <c r="D19" s="73">
        <f>'Exh. JAP-39 (Tariff)'!E18</f>
        <v>8.9456999999999995E-2</v>
      </c>
      <c r="E19" s="54"/>
      <c r="F19" s="57">
        <f t="shared" ref="F19:F20" si="0">ROUND(D19*$C19,0)</f>
        <v>129586035</v>
      </c>
      <c r="G19" s="73">
        <f>ROUND(D19*(1+$M$25),6)+0.000002</f>
        <v>9.4936000000000006E-2</v>
      </c>
      <c r="H19" s="54"/>
      <c r="I19" s="57">
        <f t="shared" ref="I19:I20" si="1">ROUND(G19*$C19,0)</f>
        <v>137522831</v>
      </c>
      <c r="J19" s="69"/>
      <c r="K19" s="310" t="s">
        <v>101</v>
      </c>
      <c r="L19" s="310"/>
      <c r="M19" s="310"/>
      <c r="N19" s="86"/>
      <c r="O19" s="65"/>
      <c r="P19" s="146"/>
      <c r="Q19" s="146"/>
      <c r="R19" s="146"/>
      <c r="S19" s="146"/>
      <c r="T19" s="146"/>
      <c r="U19" s="146"/>
      <c r="X19" s="63"/>
      <c r="Y19" s="63"/>
      <c r="Z19" s="63"/>
      <c r="AA19" s="63"/>
      <c r="AB19" s="63"/>
      <c r="AC19" s="63"/>
      <c r="AD19" s="63"/>
      <c r="AE19" s="63"/>
      <c r="AG19" s="66"/>
    </row>
    <row r="20" spans="1:33">
      <c r="A20" s="76" t="s">
        <v>96</v>
      </c>
      <c r="B20" s="54"/>
      <c r="C20" s="55">
        <v>1297302966.9230001</v>
      </c>
      <c r="D20" s="73">
        <f>'Exh. JAP-39 (Tariff)'!E19</f>
        <v>8.6359000000000005E-2</v>
      </c>
      <c r="E20" s="54"/>
      <c r="F20" s="57">
        <f t="shared" si="0"/>
        <v>112033787</v>
      </c>
      <c r="G20" s="73">
        <f>ROUND(D20*(1+$M$25),6)</f>
        <v>9.1646000000000005E-2</v>
      </c>
      <c r="H20" s="54"/>
      <c r="I20" s="57">
        <f t="shared" si="1"/>
        <v>118892628</v>
      </c>
      <c r="J20" s="69"/>
      <c r="K20" s="310" t="s">
        <v>100</v>
      </c>
      <c r="L20" s="310"/>
      <c r="M20" s="310"/>
      <c r="N20" s="86"/>
      <c r="O20" s="65"/>
      <c r="X20" s="63"/>
      <c r="Y20" s="63"/>
      <c r="Z20" s="63"/>
      <c r="AA20" s="63"/>
      <c r="AB20" s="63"/>
      <c r="AC20" s="63"/>
      <c r="AD20" s="63"/>
      <c r="AE20" s="63"/>
      <c r="AG20" s="66"/>
    </row>
    <row r="21" spans="1:33">
      <c r="A21" s="80" t="s">
        <v>36</v>
      </c>
      <c r="B21" s="75"/>
      <c r="C21" s="100">
        <f>SUM(C19:C20)</f>
        <v>2745887598.9230003</v>
      </c>
      <c r="D21" s="101"/>
      <c r="E21" s="54"/>
      <c r="F21" s="99">
        <f>SUM(F19:F20)</f>
        <v>241619822</v>
      </c>
      <c r="G21" s="101"/>
      <c r="H21" s="54"/>
      <c r="I21" s="99">
        <f>SUM(I19:I20)</f>
        <v>256415459</v>
      </c>
      <c r="J21" s="69"/>
      <c r="K21" s="278"/>
      <c r="X21" s="63"/>
      <c r="Y21" s="63"/>
      <c r="Z21" s="63"/>
      <c r="AA21" s="63"/>
      <c r="AB21" s="63"/>
      <c r="AC21" s="63"/>
      <c r="AD21" s="63"/>
      <c r="AE21" s="63"/>
      <c r="AG21" s="66"/>
    </row>
    <row r="22" spans="1:33">
      <c r="A22" s="74" t="s">
        <v>98</v>
      </c>
      <c r="B22" s="75"/>
      <c r="C22" s="55">
        <v>21337341.172849126</v>
      </c>
      <c r="D22" s="73">
        <f>D19</f>
        <v>8.9456999999999995E-2</v>
      </c>
      <c r="E22" s="54"/>
      <c r="F22" s="57">
        <f t="shared" ref="F22:F24" si="2">ROUND(D22*$C22,0)</f>
        <v>1908775</v>
      </c>
      <c r="G22" s="73">
        <f>G19</f>
        <v>9.4936000000000006E-2</v>
      </c>
      <c r="H22" s="54"/>
      <c r="I22" s="57">
        <f t="shared" ref="I22:I24" si="3">ROUND(G22*$C22,0)</f>
        <v>2025682</v>
      </c>
      <c r="J22" s="69"/>
      <c r="K22" s="310" t="s">
        <v>100</v>
      </c>
      <c r="L22" s="310"/>
      <c r="M22" s="310"/>
      <c r="X22" s="63"/>
      <c r="Y22" s="63"/>
      <c r="Z22" s="63"/>
      <c r="AA22" s="63"/>
      <c r="AB22" s="63"/>
      <c r="AC22" s="63"/>
      <c r="AD22" s="63"/>
      <c r="AE22" s="63"/>
      <c r="AG22" s="66"/>
    </row>
    <row r="23" spans="1:33">
      <c r="A23" s="74" t="s">
        <v>99</v>
      </c>
      <c r="B23" s="75"/>
      <c r="C23" s="55">
        <v>1211126.9944080415</v>
      </c>
      <c r="D23" s="73">
        <f>D20</f>
        <v>8.6359000000000005E-2</v>
      </c>
      <c r="E23" s="73"/>
      <c r="F23" s="57">
        <f t="shared" si="2"/>
        <v>104592</v>
      </c>
      <c r="G23" s="73">
        <f>G20</f>
        <v>9.1646000000000005E-2</v>
      </c>
      <c r="H23" s="54"/>
      <c r="I23" s="57">
        <f t="shared" si="3"/>
        <v>110995</v>
      </c>
      <c r="J23" s="69"/>
      <c r="K23" s="310" t="s">
        <v>100</v>
      </c>
      <c r="L23" s="310"/>
      <c r="M23" s="310"/>
      <c r="X23" s="63"/>
      <c r="Y23" s="63"/>
      <c r="Z23" s="63"/>
      <c r="AA23" s="63"/>
      <c r="AB23" s="63"/>
      <c r="AC23" s="63"/>
      <c r="AD23" s="63"/>
      <c r="AE23" s="63"/>
      <c r="AG23" s="66"/>
    </row>
    <row r="24" spans="1:33">
      <c r="A24" s="76" t="s">
        <v>88</v>
      </c>
      <c r="B24" s="77"/>
      <c r="C24" s="78">
        <v>19022939.703836836</v>
      </c>
      <c r="D24" s="73">
        <f>ROUND(SUM(F17,F21:F23)/SUM(C21:C23),6)</f>
        <v>9.5766000000000004E-2</v>
      </c>
      <c r="E24" s="54"/>
      <c r="F24" s="57">
        <f t="shared" si="2"/>
        <v>1821751</v>
      </c>
      <c r="G24" s="73">
        <f>ROUND(SUM(I17,I21:I23)/SUM(C21:C23),6)</f>
        <v>0.101629</v>
      </c>
      <c r="H24" s="54"/>
      <c r="I24" s="57">
        <f t="shared" si="3"/>
        <v>1933282</v>
      </c>
      <c r="J24" s="69"/>
      <c r="K24" s="310" t="s">
        <v>100</v>
      </c>
      <c r="L24" s="310"/>
      <c r="M24" s="310"/>
      <c r="N24" s="72"/>
      <c r="X24" s="63"/>
      <c r="Y24" s="63"/>
      <c r="Z24" s="63"/>
      <c r="AA24" s="63"/>
      <c r="AB24" s="63"/>
      <c r="AC24" s="63"/>
      <c r="AD24" s="63"/>
      <c r="AE24" s="63"/>
      <c r="AG24" s="66"/>
    </row>
    <row r="25" spans="1:33" ht="16.5" thickBot="1">
      <c r="A25" s="54" t="s">
        <v>40</v>
      </c>
      <c r="B25" s="54"/>
      <c r="C25" s="147">
        <f>SUM(C21:C24)</f>
        <v>2787459006.7940946</v>
      </c>
      <c r="D25" s="83"/>
      <c r="E25" s="84"/>
      <c r="F25" s="62">
        <f>SUM(F21:F24,F17)</f>
        <v>266944260</v>
      </c>
      <c r="G25" s="83"/>
      <c r="H25" s="84"/>
      <c r="I25" s="62">
        <f>SUM(I21:I24,I17)</f>
        <v>283287493</v>
      </c>
      <c r="J25" s="89"/>
      <c r="K25" s="90" t="s">
        <v>44</v>
      </c>
      <c r="L25" s="91">
        <f>'Exh. JAP-39 (Rate Spread)'!K11*1000</f>
        <v>283287944.74771851</v>
      </c>
      <c r="M25" s="92">
        <f>L25/F25-1</f>
        <v>6.122508402210447E-2</v>
      </c>
      <c r="N25" s="85"/>
      <c r="O25" s="86" t="s">
        <v>0</v>
      </c>
      <c r="X25" s="63"/>
      <c r="Y25" s="63"/>
      <c r="Z25" s="63"/>
      <c r="AA25" s="63"/>
      <c r="AB25" s="63"/>
      <c r="AC25" s="63"/>
      <c r="AD25" s="63"/>
      <c r="AE25" s="63"/>
      <c r="AG25" s="66"/>
    </row>
    <row r="26" spans="1:33" ht="16.5" thickTop="1">
      <c r="A26" s="54"/>
      <c r="B26" s="54"/>
      <c r="C26" s="81"/>
      <c r="D26" s="83"/>
      <c r="E26" s="84"/>
      <c r="F26" s="69"/>
      <c r="G26" s="87"/>
      <c r="H26" s="84"/>
      <c r="I26" s="69"/>
      <c r="J26" s="69"/>
      <c r="K26" s="94" t="s">
        <v>39</v>
      </c>
      <c r="L26" s="95">
        <f>L25-I25</f>
        <v>451.74771851301193</v>
      </c>
      <c r="M26" s="148"/>
      <c r="N26" s="85"/>
      <c r="O26" s="86"/>
      <c r="X26" s="63"/>
      <c r="Y26" s="63"/>
      <c r="Z26" s="63"/>
      <c r="AA26" s="63"/>
      <c r="AB26" s="63"/>
      <c r="AC26" s="63"/>
      <c r="AD26" s="63"/>
      <c r="AE26" s="63"/>
      <c r="AG26" s="66"/>
    </row>
    <row r="27" spans="1:33">
      <c r="A27" s="54"/>
      <c r="B27" s="54"/>
      <c r="C27" s="55"/>
      <c r="D27" s="56" t="s">
        <v>0</v>
      </c>
      <c r="E27" s="54"/>
      <c r="F27" s="57"/>
      <c r="G27" s="56" t="s">
        <v>0</v>
      </c>
      <c r="H27" s="54"/>
      <c r="I27" s="57" t="s">
        <v>0</v>
      </c>
      <c r="J27" s="57"/>
      <c r="K27" s="63"/>
      <c r="L27" s="64"/>
      <c r="M27" s="64"/>
      <c r="N27" s="64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</row>
    <row r="28" spans="1:33">
      <c r="A28" s="67" t="s">
        <v>123</v>
      </c>
      <c r="B28" s="54"/>
      <c r="C28" s="55"/>
      <c r="D28" s="57"/>
      <c r="E28" s="54"/>
      <c r="F28" s="54"/>
      <c r="G28" s="57"/>
      <c r="H28" s="54"/>
      <c r="I28" s="57" t="s">
        <v>0</v>
      </c>
      <c r="J28" s="57"/>
      <c r="K28" s="63"/>
      <c r="L28" s="64"/>
      <c r="M28" s="64"/>
      <c r="N28" s="64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</row>
    <row r="29" spans="1:33">
      <c r="A29" s="67" t="s">
        <v>104</v>
      </c>
      <c r="B29" s="54"/>
      <c r="C29" s="54" t="s">
        <v>0</v>
      </c>
      <c r="D29" s="57"/>
      <c r="E29" s="54"/>
      <c r="F29" s="54"/>
      <c r="G29" s="57"/>
      <c r="H29" s="54"/>
      <c r="I29" s="54"/>
      <c r="J29" s="54"/>
      <c r="K29" s="63"/>
      <c r="L29" s="64"/>
      <c r="M29" s="64"/>
      <c r="N29" s="64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</row>
    <row r="30" spans="1:33">
      <c r="A30" s="54"/>
      <c r="B30" s="54"/>
      <c r="C30" s="54"/>
      <c r="D30" s="57"/>
      <c r="E30" s="54"/>
      <c r="F30" s="54"/>
      <c r="G30" s="57"/>
      <c r="H30" s="54"/>
      <c r="I30" s="54"/>
      <c r="J30" s="54"/>
      <c r="K30" s="63"/>
      <c r="L30" s="64"/>
      <c r="M30" s="64"/>
      <c r="N30" s="64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</row>
    <row r="31" spans="1:33">
      <c r="A31" s="54" t="s">
        <v>43</v>
      </c>
      <c r="B31" s="54"/>
      <c r="C31" s="55">
        <v>86508</v>
      </c>
      <c r="D31" s="68">
        <f>'Exh. JAP-39 (Tariff)'!E22</f>
        <v>51.67</v>
      </c>
      <c r="E31" s="54"/>
      <c r="F31" s="57">
        <f>ROUND(D31*$C31,0)</f>
        <v>4469868</v>
      </c>
      <c r="G31" s="68">
        <f>ROUND(D31*(1+$M$47),2)</f>
        <v>54.83</v>
      </c>
      <c r="H31" s="54"/>
      <c r="I31" s="57">
        <f>ROUND(G31*$C31,0)</f>
        <v>4743234</v>
      </c>
      <c r="J31" s="57"/>
      <c r="K31" s="310" t="s">
        <v>100</v>
      </c>
      <c r="L31" s="310"/>
      <c r="M31" s="310"/>
      <c r="N31" s="64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</row>
    <row r="32" spans="1:33">
      <c r="A32" s="54" t="s">
        <v>46</v>
      </c>
      <c r="B32" s="54"/>
      <c r="C32" s="55"/>
      <c r="D32" s="56"/>
      <c r="E32" s="57"/>
      <c r="F32" s="57"/>
      <c r="G32" s="68"/>
      <c r="H32" s="57"/>
      <c r="I32" s="57"/>
      <c r="J32" s="57"/>
      <c r="K32" s="63"/>
      <c r="L32" s="64"/>
      <c r="M32" s="64"/>
      <c r="N32" s="64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</row>
    <row r="33" spans="1:31">
      <c r="A33" s="74" t="s">
        <v>106</v>
      </c>
      <c r="B33" s="54"/>
      <c r="C33" s="55">
        <v>728310837</v>
      </c>
      <c r="D33" s="73">
        <f>'Exh. JAP-39 (Tariff)'!E24</f>
        <v>8.9582999999999996E-2</v>
      </c>
      <c r="E33" s="57"/>
      <c r="F33" s="57">
        <f>ROUND($C33*D33,0)</f>
        <v>65244270</v>
      </c>
      <c r="G33" s="73">
        <f>ROUND(D33*(1+$M$47),6)+0</f>
        <v>9.5068E-2</v>
      </c>
      <c r="H33" s="57"/>
      <c r="I33" s="57">
        <f>ROUND($C33*G33,0)</f>
        <v>69239055</v>
      </c>
      <c r="J33" s="57"/>
      <c r="K33" s="310" t="s">
        <v>113</v>
      </c>
      <c r="L33" s="310"/>
      <c r="M33" s="310"/>
      <c r="N33" s="64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</row>
    <row r="34" spans="1:31">
      <c r="A34" s="74" t="s">
        <v>105</v>
      </c>
      <c r="B34" s="54"/>
      <c r="C34" s="55">
        <v>698873485</v>
      </c>
      <c r="D34" s="73">
        <f>'Exh. JAP-39 (Tariff)'!E25</f>
        <v>8.1430000000000002E-2</v>
      </c>
      <c r="E34" s="57"/>
      <c r="F34" s="57">
        <f t="shared" ref="F34:F38" si="4">ROUND($C34*D34,0)</f>
        <v>56909268</v>
      </c>
      <c r="G34" s="73">
        <f>ROUND(D34*(1+$M$47),6)</f>
        <v>8.6416000000000007E-2</v>
      </c>
      <c r="H34" s="57"/>
      <c r="I34" s="57">
        <f t="shared" ref="I34:I38" si="5">ROUND($C34*G34,0)</f>
        <v>60393851</v>
      </c>
      <c r="J34" s="57"/>
      <c r="K34" s="310" t="s">
        <v>100</v>
      </c>
      <c r="L34" s="310"/>
      <c r="M34" s="310"/>
      <c r="N34" s="64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</row>
    <row r="35" spans="1:31">
      <c r="A35" s="74" t="s">
        <v>107</v>
      </c>
      <c r="B35" s="54"/>
      <c r="C35" s="55">
        <v>1362741884</v>
      </c>
      <c r="D35" s="73">
        <f>'Exh. JAP-39 (Tariff)'!E26</f>
        <v>6.4072000000000004E-2</v>
      </c>
      <c r="E35" s="57"/>
      <c r="F35" s="57">
        <f t="shared" si="4"/>
        <v>87313598</v>
      </c>
      <c r="G35" s="73">
        <f>ROUND(D35*(1+$M$47),6)</f>
        <v>6.7995E-2</v>
      </c>
      <c r="H35" s="57"/>
      <c r="I35" s="57">
        <f t="shared" si="5"/>
        <v>92659634</v>
      </c>
      <c r="J35" s="57"/>
      <c r="K35" s="310" t="s">
        <v>100</v>
      </c>
      <c r="L35" s="310"/>
      <c r="M35" s="310"/>
      <c r="N35" s="64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</row>
    <row r="36" spans="1:31">
      <c r="A36" s="80" t="s">
        <v>36</v>
      </c>
      <c r="B36" s="54"/>
      <c r="C36" s="100">
        <f>SUM(C33:C35)</f>
        <v>2789926206</v>
      </c>
      <c r="D36" s="101"/>
      <c r="E36" s="54"/>
      <c r="F36" s="99">
        <f>SUM(F33:F35)</f>
        <v>209467136</v>
      </c>
      <c r="G36" s="101"/>
      <c r="H36" s="54"/>
      <c r="I36" s="99">
        <f>SUM(I33:I35)</f>
        <v>222292540</v>
      </c>
      <c r="J36" s="57"/>
      <c r="K36" s="63"/>
      <c r="L36" s="64"/>
      <c r="M36" s="64"/>
      <c r="N36" s="64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</row>
    <row r="37" spans="1:31">
      <c r="A37" s="74" t="s">
        <v>83</v>
      </c>
      <c r="B37" s="54"/>
      <c r="C37" s="55">
        <v>11247064.07998576</v>
      </c>
      <c r="D37" s="73">
        <f>D35</f>
        <v>6.4072000000000004E-2</v>
      </c>
      <c r="E37" s="54"/>
      <c r="F37" s="57">
        <f t="shared" si="4"/>
        <v>720622</v>
      </c>
      <c r="G37" s="73">
        <f>G35</f>
        <v>6.7995E-2</v>
      </c>
      <c r="H37" s="54"/>
      <c r="I37" s="57">
        <f t="shared" si="5"/>
        <v>764744</v>
      </c>
      <c r="J37" s="57"/>
      <c r="K37" s="149"/>
      <c r="L37" s="64"/>
      <c r="M37" s="64"/>
      <c r="N37" s="64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</row>
    <row r="38" spans="1:31">
      <c r="A38" s="76" t="s">
        <v>88</v>
      </c>
      <c r="B38" s="54"/>
      <c r="C38" s="55">
        <v>29725507.391902685</v>
      </c>
      <c r="D38" s="73">
        <f>ROUND(SUM(F31,F36:F37,F43,F45)/SUM(C36:C37),6)</f>
        <v>8.8941999999999993E-2</v>
      </c>
      <c r="E38" s="54"/>
      <c r="F38" s="57">
        <f t="shared" si="4"/>
        <v>2643846</v>
      </c>
      <c r="G38" s="73">
        <f>ROUND(SUM(I31,I36:I37,I43,I45)/SUM(C36:C37),6)</f>
        <v>9.4386999999999999E-2</v>
      </c>
      <c r="H38" s="54"/>
      <c r="I38" s="57">
        <f t="shared" si="5"/>
        <v>2805701</v>
      </c>
      <c r="J38" s="69"/>
      <c r="K38" s="310" t="s">
        <v>100</v>
      </c>
      <c r="L38" s="310"/>
      <c r="M38" s="310"/>
      <c r="N38" s="64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</row>
    <row r="39" spans="1:31">
      <c r="A39" s="80" t="s">
        <v>36</v>
      </c>
      <c r="B39" s="54"/>
      <c r="C39" s="100">
        <f>SUM(C36:C38)</f>
        <v>2830898777.4718885</v>
      </c>
      <c r="D39" s="54"/>
      <c r="E39" s="54"/>
      <c r="F39" s="99">
        <f>SUM(F36:F38)</f>
        <v>212831604</v>
      </c>
      <c r="G39" s="54"/>
      <c r="H39" s="54"/>
      <c r="I39" s="99">
        <f>SUM(I36:I38)</f>
        <v>225862985</v>
      </c>
      <c r="J39" s="69"/>
      <c r="K39" s="150"/>
      <c r="L39" s="151"/>
      <c r="M39" s="64"/>
      <c r="N39" s="64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</row>
    <row r="40" spans="1:31">
      <c r="A40" s="54" t="s">
        <v>45</v>
      </c>
      <c r="B40" s="54"/>
      <c r="C40" s="55"/>
      <c r="D40" s="93"/>
      <c r="E40" s="54"/>
      <c r="F40" s="57"/>
      <c r="G40" s="93"/>
      <c r="H40" s="54"/>
      <c r="I40" s="57"/>
      <c r="J40" s="57"/>
      <c r="K40" s="63"/>
      <c r="L40" s="64"/>
      <c r="M40" s="64"/>
      <c r="N40" s="64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</row>
    <row r="41" spans="1:31">
      <c r="A41" s="74" t="s">
        <v>108</v>
      </c>
      <c r="B41" s="54"/>
      <c r="C41" s="55">
        <v>2191038.54</v>
      </c>
      <c r="D41" s="68">
        <f>'Exh. JAP-39 (Tariff)'!E29</f>
        <v>9.01</v>
      </c>
      <c r="E41" s="54"/>
      <c r="F41" s="57">
        <f>ROUND(D41*$C41,0)</f>
        <v>19741257</v>
      </c>
      <c r="G41" s="68">
        <f t="shared" ref="G41:G42" si="6">ROUND(D41*(1+$M$47),2)</f>
        <v>9.56</v>
      </c>
      <c r="H41" s="54"/>
      <c r="I41" s="57">
        <f>ROUND(G41*$C41,0)</f>
        <v>20946328</v>
      </c>
      <c r="J41" s="57"/>
      <c r="K41" s="310" t="s">
        <v>100</v>
      </c>
      <c r="L41" s="310"/>
      <c r="M41" s="310"/>
      <c r="N41" s="64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</row>
    <row r="42" spans="1:31">
      <c r="A42" s="74" t="s">
        <v>109</v>
      </c>
      <c r="B42" s="54"/>
      <c r="C42" s="55">
        <v>2131080.64</v>
      </c>
      <c r="D42" s="68">
        <f>'Exh. JAP-39 (Tariff)'!E30</f>
        <v>6.01</v>
      </c>
      <c r="E42" s="54"/>
      <c r="F42" s="57">
        <f>ROUND(D42*$C42,0)</f>
        <v>12807795</v>
      </c>
      <c r="G42" s="68">
        <f t="shared" si="6"/>
        <v>6.38</v>
      </c>
      <c r="H42" s="54"/>
      <c r="I42" s="57">
        <f>ROUND(G42*$C42,0)</f>
        <v>13596294</v>
      </c>
      <c r="J42" s="57"/>
      <c r="K42" s="310" t="s">
        <v>100</v>
      </c>
      <c r="L42" s="310"/>
      <c r="M42" s="310"/>
      <c r="N42" s="64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</row>
    <row r="43" spans="1:31">
      <c r="A43" s="80" t="s">
        <v>36</v>
      </c>
      <c r="B43" s="54"/>
      <c r="C43" s="100">
        <f>SUM(C41:C42)</f>
        <v>4322119.18</v>
      </c>
      <c r="D43" s="93"/>
      <c r="E43" s="54"/>
      <c r="F43" s="99">
        <f>SUM(F41:F42)</f>
        <v>32549052</v>
      </c>
      <c r="G43" s="93"/>
      <c r="H43" s="54"/>
      <c r="I43" s="99">
        <f>SUM(I41:I42)</f>
        <v>34542622</v>
      </c>
      <c r="J43" s="57"/>
      <c r="K43" s="63"/>
      <c r="L43" s="64"/>
      <c r="M43" s="64"/>
      <c r="N43" s="64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</row>
    <row r="44" spans="1:31">
      <c r="A44" s="54"/>
      <c r="B44" s="54"/>
      <c r="C44" s="81"/>
      <c r="D44" s="81"/>
      <c r="E44" s="54"/>
      <c r="F44" s="69"/>
      <c r="G44" s="81"/>
      <c r="H44" s="54"/>
      <c r="I44" s="69"/>
      <c r="J44" s="69"/>
      <c r="K44" s="150"/>
      <c r="L44" s="151"/>
      <c r="M44" s="64"/>
      <c r="N44" s="64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</row>
    <row r="45" spans="1:31">
      <c r="A45" s="54" t="s">
        <v>110</v>
      </c>
      <c r="B45" s="54"/>
      <c r="C45" s="55">
        <v>683582755</v>
      </c>
      <c r="D45" s="97">
        <f>'Exh. JAP-39 (Tariff)'!E32</f>
        <v>2.8300000000000001E-3</v>
      </c>
      <c r="E45" s="54"/>
      <c r="F45" s="57">
        <f>ROUND(D45*$C45,0)</f>
        <v>1934539</v>
      </c>
      <c r="G45" s="97">
        <f>ROUND(D45*(1+$M$47),5)</f>
        <v>3.0000000000000001E-3</v>
      </c>
      <c r="H45" s="54"/>
      <c r="I45" s="57">
        <f>ROUND(G45*$C45,0)</f>
        <v>2050748</v>
      </c>
      <c r="J45" s="69"/>
      <c r="K45" s="310" t="s">
        <v>100</v>
      </c>
      <c r="L45" s="310"/>
      <c r="M45" s="310"/>
      <c r="N45" s="64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</row>
    <row r="46" spans="1:31">
      <c r="A46" s="54"/>
      <c r="B46" s="54"/>
      <c r="C46" s="81"/>
      <c r="D46" s="81"/>
      <c r="E46" s="54"/>
      <c r="F46" s="69"/>
      <c r="G46" s="81"/>
      <c r="H46" s="54"/>
      <c r="I46" s="69"/>
      <c r="J46" s="69"/>
      <c r="N46" s="64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</row>
    <row r="47" spans="1:31" ht="16.5" thickBot="1">
      <c r="A47" s="54" t="s">
        <v>40</v>
      </c>
      <c r="B47" s="54"/>
      <c r="C47" s="81"/>
      <c r="D47" s="81"/>
      <c r="E47" s="54"/>
      <c r="F47" s="89">
        <f>SUM(F31,F39,F43,F45)</f>
        <v>251785063</v>
      </c>
      <c r="G47" s="81"/>
      <c r="H47" s="54"/>
      <c r="I47" s="89">
        <f>SUM(I31,I39,I43,I45)</f>
        <v>267199589</v>
      </c>
      <c r="J47" s="69"/>
      <c r="K47" s="137" t="s">
        <v>128</v>
      </c>
      <c r="L47" s="91">
        <f>'Exh. JAP-39 (Rate Spread)'!K12*1000</f>
        <v>268408223.80083182</v>
      </c>
      <c r="M47" s="92">
        <f>L47/SUM(F126,F47)-1</f>
        <v>6.1225853303059852E-2</v>
      </c>
      <c r="N47" s="64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</row>
    <row r="48" spans="1:31" ht="16.5" thickTop="1">
      <c r="A48" s="54"/>
      <c r="B48" s="98"/>
      <c r="C48" s="81"/>
      <c r="D48" s="81"/>
      <c r="E48" s="54"/>
      <c r="F48" s="57"/>
      <c r="G48" s="81"/>
      <c r="H48" s="54"/>
      <c r="I48" s="57"/>
      <c r="J48" s="57"/>
      <c r="K48" s="94" t="s">
        <v>39</v>
      </c>
      <c r="L48" s="95">
        <f>L47-I126-I47</f>
        <v>1184.8008318245411</v>
      </c>
      <c r="M48" s="96" t="s">
        <v>0</v>
      </c>
      <c r="N48" s="64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</row>
    <row r="52" spans="1:13">
      <c r="A52" s="67" t="s">
        <v>122</v>
      </c>
      <c r="B52" s="54"/>
      <c r="C52" s="55"/>
      <c r="D52" s="57"/>
      <c r="E52" s="54"/>
      <c r="F52" s="54"/>
      <c r="G52" s="57"/>
      <c r="H52" s="54"/>
      <c r="I52" s="57" t="s">
        <v>0</v>
      </c>
      <c r="J52" s="57"/>
      <c r="L52" s="44"/>
      <c r="M52" s="44"/>
    </row>
    <row r="53" spans="1:13">
      <c r="A53" s="67" t="s">
        <v>114</v>
      </c>
      <c r="B53" s="54"/>
      <c r="C53" s="54" t="s">
        <v>0</v>
      </c>
      <c r="D53" s="57"/>
      <c r="E53" s="54"/>
      <c r="F53" s="54"/>
      <c r="G53" s="57"/>
      <c r="H53" s="54"/>
      <c r="I53" s="54"/>
      <c r="J53" s="54"/>
      <c r="L53" s="44"/>
      <c r="M53" s="44"/>
    </row>
    <row r="54" spans="1:13">
      <c r="A54" s="54"/>
      <c r="B54" s="54"/>
      <c r="C54" s="54"/>
      <c r="D54" s="57"/>
      <c r="E54" s="54"/>
      <c r="F54" s="54"/>
      <c r="G54" s="57"/>
      <c r="H54" s="54"/>
      <c r="I54" s="54"/>
      <c r="J54" s="54"/>
      <c r="K54" s="63"/>
      <c r="L54" s="64"/>
      <c r="M54" s="64"/>
    </row>
    <row r="55" spans="1:13">
      <c r="A55" s="54" t="s">
        <v>43</v>
      </c>
      <c r="B55" s="54"/>
      <c r="C55" s="55">
        <v>9614</v>
      </c>
      <c r="D55" s="68">
        <f>'Exh. JAP-39 (Tariff)'!E35</f>
        <v>104.46</v>
      </c>
      <c r="E55" s="54"/>
      <c r="F55" s="57">
        <f>ROUND(D55*$C55,0)</f>
        <v>1004278</v>
      </c>
      <c r="G55" s="68">
        <f>ROUND(D55*(1+$M$71),2)</f>
        <v>110.86</v>
      </c>
      <c r="H55" s="54"/>
      <c r="I55" s="57">
        <f>ROUND(G55*$C55,0)</f>
        <v>1065808</v>
      </c>
      <c r="J55" s="57"/>
      <c r="K55" s="310" t="s">
        <v>100</v>
      </c>
      <c r="L55" s="310"/>
      <c r="M55" s="310"/>
    </row>
    <row r="56" spans="1:13">
      <c r="A56" s="54" t="s">
        <v>46</v>
      </c>
      <c r="B56" s="54"/>
      <c r="C56" s="55"/>
      <c r="D56" s="56"/>
      <c r="E56" s="57"/>
      <c r="F56" s="57"/>
      <c r="G56" s="56"/>
      <c r="H56" s="57"/>
      <c r="I56" s="57"/>
      <c r="J56" s="57"/>
      <c r="K56" s="63"/>
      <c r="L56" s="64"/>
      <c r="M56" s="64"/>
    </row>
    <row r="57" spans="1:13">
      <c r="A57" s="74" t="s">
        <v>52</v>
      </c>
      <c r="B57" s="54"/>
      <c r="C57" s="55">
        <v>1853076121</v>
      </c>
      <c r="D57" s="73">
        <f>'Exh. JAP-39 (Tariff)'!E37</f>
        <v>5.6732999999999999E-2</v>
      </c>
      <c r="E57" s="57"/>
      <c r="F57" s="57">
        <f t="shared" ref="F57" si="7">ROUND($C57*D57,0)</f>
        <v>105130568</v>
      </c>
      <c r="G57" s="73">
        <f>ROUND((1+$L$99)*'Exh. JAP-39 (PV RD)'!G17,6)-0.000006</f>
        <v>5.9951000000000004E-2</v>
      </c>
      <c r="H57" s="57"/>
      <c r="I57" s="57">
        <f t="shared" ref="I57" si="8">ROUND($C57*G57,0)</f>
        <v>111093767</v>
      </c>
      <c r="J57" s="57"/>
      <c r="K57" s="310" t="s">
        <v>129</v>
      </c>
      <c r="L57" s="310"/>
      <c r="M57" s="310"/>
    </row>
    <row r="58" spans="1:13">
      <c r="A58" s="80" t="s">
        <v>36</v>
      </c>
      <c r="B58" s="54"/>
      <c r="C58" s="100">
        <f>SUM(C57:C57)</f>
        <v>1853076121</v>
      </c>
      <c r="D58" s="101"/>
      <c r="E58" s="54"/>
      <c r="F58" s="99">
        <f>SUM(F57:F57)</f>
        <v>105130568</v>
      </c>
      <c r="G58" s="101"/>
      <c r="H58" s="54"/>
      <c r="I58" s="99">
        <f>SUM(I57:I57)</f>
        <v>111093767</v>
      </c>
      <c r="J58" s="57"/>
      <c r="K58" s="63"/>
      <c r="L58" s="64"/>
      <c r="M58" s="64"/>
    </row>
    <row r="59" spans="1:13">
      <c r="A59" s="74" t="s">
        <v>83</v>
      </c>
      <c r="B59" s="54"/>
      <c r="C59" s="55">
        <v>-231987.67610922537</v>
      </c>
      <c r="D59" s="73">
        <f>D57</f>
        <v>5.6732999999999999E-2</v>
      </c>
      <c r="E59" s="54"/>
      <c r="F59" s="57">
        <f t="shared" ref="F59:F60" si="9">ROUND($C59*D59,0)</f>
        <v>-13161</v>
      </c>
      <c r="G59" s="73">
        <f>G57</f>
        <v>5.9951000000000004E-2</v>
      </c>
      <c r="H59" s="54"/>
      <c r="I59" s="57">
        <f t="shared" ref="I59:I60" si="10">ROUND($C59*G59,0)</f>
        <v>-13908</v>
      </c>
      <c r="J59" s="57"/>
      <c r="K59" s="149"/>
      <c r="L59" s="64"/>
      <c r="M59" s="64"/>
    </row>
    <row r="60" spans="1:13">
      <c r="A60" s="76" t="s">
        <v>88</v>
      </c>
      <c r="B60" s="54"/>
      <c r="C60" s="81">
        <v>1605471.0577550698</v>
      </c>
      <c r="D60" s="73">
        <f>ROUND(SUM(F55,F58:F59,F65,F67)/SUM(C58:C59),6)</f>
        <v>8.1318000000000001E-2</v>
      </c>
      <c r="E60" s="54"/>
      <c r="F60" s="57">
        <f t="shared" si="9"/>
        <v>130554</v>
      </c>
      <c r="G60" s="73">
        <f>ROUND(SUM(I55,I58:I59,I65,I67)/SUM(C58:C59),6)</f>
        <v>8.6300000000000002E-2</v>
      </c>
      <c r="H60" s="54"/>
      <c r="I60" s="57">
        <f t="shared" si="10"/>
        <v>138552</v>
      </c>
      <c r="J60" s="69"/>
      <c r="K60" s="310" t="s">
        <v>100</v>
      </c>
      <c r="L60" s="310"/>
      <c r="M60" s="310"/>
    </row>
    <row r="61" spans="1:13">
      <c r="A61" s="80" t="s">
        <v>36</v>
      </c>
      <c r="B61" s="54"/>
      <c r="C61" s="100">
        <f>SUM(C58:C60)</f>
        <v>1854449604.3816457</v>
      </c>
      <c r="D61" s="54"/>
      <c r="E61" s="54"/>
      <c r="F61" s="99">
        <f>SUM(F58:F60)</f>
        <v>105247961</v>
      </c>
      <c r="G61" s="54"/>
      <c r="H61" s="54"/>
      <c r="I61" s="99">
        <f>SUM(I58:I60)</f>
        <v>111218411</v>
      </c>
      <c r="J61" s="69"/>
      <c r="K61" s="149"/>
      <c r="L61" s="64"/>
      <c r="M61" s="64"/>
    </row>
    <row r="62" spans="1:13">
      <c r="A62" s="54" t="s">
        <v>45</v>
      </c>
      <c r="B62" s="54"/>
      <c r="C62" s="55"/>
      <c r="D62" s="93"/>
      <c r="E62" s="54"/>
      <c r="F62" s="57"/>
      <c r="G62" s="93"/>
      <c r="H62" s="54"/>
      <c r="I62" s="57"/>
      <c r="J62" s="57"/>
      <c r="K62" s="149"/>
      <c r="L62" s="151"/>
      <c r="M62" s="64"/>
    </row>
    <row r="63" spans="1:13">
      <c r="A63" s="74" t="s">
        <v>115</v>
      </c>
      <c r="B63" s="54"/>
      <c r="C63" s="55">
        <v>2196750.7200000002</v>
      </c>
      <c r="D63" s="68">
        <f>'Exh. JAP-39 (Tariff)'!E39</f>
        <v>11.65</v>
      </c>
      <c r="E63" s="54"/>
      <c r="F63" s="57">
        <f>ROUND(D63*$C63,0)</f>
        <v>25592146</v>
      </c>
      <c r="G63" s="68">
        <f>ROUND((1+$L$99)*'Exh. JAP-39 (PV RD)'!G23,2)</f>
        <v>12.48</v>
      </c>
      <c r="H63" s="54"/>
      <c r="I63" s="57">
        <f>ROUND(G63*$C63,0)</f>
        <v>27415449</v>
      </c>
      <c r="J63" s="57"/>
      <c r="K63" s="310" t="s">
        <v>135</v>
      </c>
      <c r="L63" s="310"/>
      <c r="M63" s="310"/>
    </row>
    <row r="64" spans="1:13">
      <c r="A64" s="74" t="s">
        <v>116</v>
      </c>
      <c r="B64" s="54"/>
      <c r="C64" s="55">
        <v>2312125.64</v>
      </c>
      <c r="D64" s="68">
        <f>'Exh. JAP-39 (Tariff)'!E40</f>
        <v>7.76</v>
      </c>
      <c r="E64" s="54"/>
      <c r="F64" s="57">
        <f>ROUND(D64*$C64,0)</f>
        <v>17942095</v>
      </c>
      <c r="G64" s="68">
        <f>ROUND((1+$L$99)*'Exh. JAP-39 (PV RD)'!G24,2)</f>
        <v>8.33</v>
      </c>
      <c r="H64" s="54"/>
      <c r="I64" s="57">
        <f>ROUND(G64*$C64,0)</f>
        <v>19260007</v>
      </c>
      <c r="J64" s="57"/>
      <c r="K64" s="310" t="s">
        <v>135</v>
      </c>
      <c r="L64" s="310"/>
      <c r="M64" s="310"/>
    </row>
    <row r="65" spans="1:13">
      <c r="A65" s="80" t="s">
        <v>36</v>
      </c>
      <c r="B65" s="54"/>
      <c r="C65" s="100">
        <f>SUM(C63:C64)</f>
        <v>4508876.3600000003</v>
      </c>
      <c r="D65" s="93"/>
      <c r="E65" s="54"/>
      <c r="F65" s="99">
        <f>SUM(F63:F64)</f>
        <v>43534241</v>
      </c>
      <c r="G65" s="93"/>
      <c r="H65" s="54"/>
      <c r="I65" s="99">
        <f>SUM(I63:I64)</f>
        <v>46675456</v>
      </c>
      <c r="J65" s="57"/>
      <c r="K65" s="149"/>
      <c r="L65" s="64"/>
      <c r="M65" s="64"/>
    </row>
    <row r="66" spans="1:13">
      <c r="A66" s="54"/>
      <c r="B66" s="54"/>
      <c r="C66" s="81"/>
      <c r="D66" s="81"/>
      <c r="E66" s="54"/>
      <c r="F66" s="69"/>
      <c r="G66" s="81"/>
      <c r="H66" s="54"/>
      <c r="I66" s="69"/>
      <c r="J66" s="69"/>
      <c r="K66" s="149"/>
      <c r="L66" s="64"/>
      <c r="M66" s="64"/>
    </row>
    <row r="67" spans="1:13">
      <c r="A67" s="54" t="s">
        <v>110</v>
      </c>
      <c r="B67" s="54"/>
      <c r="C67" s="55">
        <v>817586142</v>
      </c>
      <c r="D67" s="97">
        <f>'Exh. JAP-39 (Tariff)'!E42</f>
        <v>1.24E-3</v>
      </c>
      <c r="E67" s="54"/>
      <c r="F67" s="57">
        <f>ROUND(D67*$C67,0)</f>
        <v>1013807</v>
      </c>
      <c r="G67" s="97">
        <f>ROUND(D67*(1+$M$71),5)</f>
        <v>1.32E-3</v>
      </c>
      <c r="H67" s="54"/>
      <c r="I67" s="57">
        <f>ROUND(G67*$C67,0)</f>
        <v>1079214</v>
      </c>
      <c r="J67" s="69"/>
      <c r="K67" s="310" t="s">
        <v>100</v>
      </c>
      <c r="L67" s="310"/>
      <c r="M67" s="310"/>
    </row>
    <row r="68" spans="1:13">
      <c r="A68" s="54"/>
      <c r="B68" s="54"/>
      <c r="C68" s="81"/>
      <c r="D68" s="81"/>
      <c r="E68" s="54"/>
      <c r="F68" s="69"/>
      <c r="G68" s="81"/>
      <c r="H68" s="54"/>
      <c r="I68" s="69"/>
      <c r="J68" s="69"/>
      <c r="K68" s="150"/>
      <c r="L68" s="151"/>
      <c r="M68" s="64"/>
    </row>
    <row r="69" spans="1:13" ht="16.5" thickBot="1">
      <c r="A69" s="54" t="s">
        <v>40</v>
      </c>
      <c r="B69" s="54"/>
      <c r="C69" s="81"/>
      <c r="D69" s="81"/>
      <c r="E69" s="54"/>
      <c r="F69" s="89">
        <f>SUM(F55,F61,F65,F67)</f>
        <v>150800287</v>
      </c>
      <c r="G69" s="81"/>
      <c r="H69" s="54"/>
      <c r="I69" s="89">
        <f>SUM(I55,I61,I65,I67)</f>
        <v>160038889</v>
      </c>
      <c r="J69" s="69"/>
      <c r="K69" s="149"/>
      <c r="L69" s="151"/>
      <c r="M69" s="64"/>
    </row>
    <row r="70" spans="1:13" ht="16.5" thickTop="1">
      <c r="A70" s="54"/>
      <c r="B70" s="98"/>
      <c r="C70" s="81"/>
      <c r="D70" s="81"/>
      <c r="E70" s="54"/>
      <c r="F70" s="57"/>
      <c r="G70" s="81"/>
      <c r="H70" s="54"/>
      <c r="I70" s="57"/>
      <c r="J70" s="57"/>
      <c r="K70" s="150"/>
      <c r="L70" s="151"/>
      <c r="M70" s="64"/>
    </row>
    <row r="71" spans="1:13">
      <c r="K71" s="137" t="s">
        <v>130</v>
      </c>
      <c r="L71" s="91">
        <f>'Exh. JAP-39 (Rate Spread)'!K13*1000</f>
        <v>161130994.83699965</v>
      </c>
      <c r="M71" s="92">
        <f>L71/SUM(F95,F69)-1</f>
        <v>6.1226117641597133E-2</v>
      </c>
    </row>
    <row r="72" spans="1:13">
      <c r="B72" s="54"/>
      <c r="C72" s="55"/>
      <c r="D72" s="57"/>
      <c r="E72" s="54"/>
      <c r="F72" s="54"/>
      <c r="G72" s="57"/>
      <c r="H72" s="54"/>
      <c r="I72" s="57" t="s">
        <v>0</v>
      </c>
      <c r="J72" s="57"/>
      <c r="K72" s="94" t="s">
        <v>39</v>
      </c>
      <c r="L72" s="95">
        <f>L71-I69-I95</f>
        <v>-635.1630003452301</v>
      </c>
      <c r="M72" s="96" t="s">
        <v>0</v>
      </c>
    </row>
    <row r="73" spans="1:13">
      <c r="A73" s="67" t="s">
        <v>117</v>
      </c>
      <c r="B73" s="54"/>
      <c r="C73" s="54" t="s">
        <v>0</v>
      </c>
      <c r="D73" s="57"/>
      <c r="E73" s="54"/>
      <c r="F73" s="54"/>
      <c r="G73" s="57"/>
      <c r="H73" s="54"/>
      <c r="I73" s="54"/>
      <c r="J73" s="54"/>
    </row>
    <row r="74" spans="1:13">
      <c r="A74" s="67" t="s">
        <v>114</v>
      </c>
      <c r="B74" s="54"/>
      <c r="C74" s="54"/>
      <c r="D74" s="57"/>
      <c r="E74" s="54"/>
      <c r="F74" s="54"/>
      <c r="G74" s="57"/>
      <c r="H74" s="54"/>
      <c r="I74" s="54"/>
      <c r="J74" s="54"/>
      <c r="K74" s="63"/>
      <c r="L74" s="64"/>
      <c r="M74" s="64"/>
    </row>
    <row r="75" spans="1:13">
      <c r="A75" s="54" t="s">
        <v>43</v>
      </c>
      <c r="B75" s="54"/>
      <c r="C75" s="55">
        <v>24</v>
      </c>
      <c r="D75" s="68">
        <f>D55</f>
        <v>104.46</v>
      </c>
      <c r="E75" s="54"/>
      <c r="F75" s="57">
        <f>ROUND(D75*$C75,0)</f>
        <v>2507</v>
      </c>
      <c r="G75" s="68">
        <f>G55</f>
        <v>110.86</v>
      </c>
      <c r="H75" s="54"/>
      <c r="I75" s="57">
        <f>ROUND(G75*$C75,0)</f>
        <v>2661</v>
      </c>
      <c r="J75" s="57"/>
      <c r="K75" s="310" t="s">
        <v>119</v>
      </c>
      <c r="L75" s="310"/>
      <c r="M75" s="310"/>
    </row>
    <row r="76" spans="1:13">
      <c r="A76" s="76" t="s">
        <v>118</v>
      </c>
      <c r="B76" s="54"/>
      <c r="C76" s="55">
        <f>C75</f>
        <v>24</v>
      </c>
      <c r="D76" s="68">
        <f>'Exh. JAP-39 (Tariff)'!E45</f>
        <v>235.05</v>
      </c>
      <c r="E76" s="54"/>
      <c r="F76" s="57">
        <f t="shared" ref="F76" si="11">ROUND(D76*$C76,0)</f>
        <v>5641</v>
      </c>
      <c r="G76" s="68">
        <f>L98</f>
        <v>249.44</v>
      </c>
      <c r="H76" s="54"/>
      <c r="I76" s="57">
        <f>ROUND(G76*$C76,0)</f>
        <v>5987</v>
      </c>
      <c r="J76" s="57"/>
      <c r="K76" s="63"/>
      <c r="L76" s="64"/>
      <c r="M76" s="64"/>
    </row>
    <row r="77" spans="1:13">
      <c r="A77" s="80" t="s">
        <v>36</v>
      </c>
      <c r="B77" s="54"/>
      <c r="C77" s="55"/>
      <c r="D77" s="68"/>
      <c r="E77" s="54"/>
      <c r="F77" s="99">
        <f>SUM(F75:F76)</f>
        <v>8148</v>
      </c>
      <c r="G77" s="68"/>
      <c r="H77" s="54"/>
      <c r="I77" s="99">
        <f>SUM(I75:I76)</f>
        <v>8648</v>
      </c>
      <c r="J77" s="57"/>
      <c r="K77" s="310" t="s">
        <v>141</v>
      </c>
      <c r="L77" s="310"/>
      <c r="M77" s="310"/>
    </row>
    <row r="78" spans="1:13">
      <c r="A78" s="54" t="s">
        <v>46</v>
      </c>
      <c r="B78" s="54"/>
      <c r="C78" s="55"/>
      <c r="D78" s="56"/>
      <c r="E78" s="57"/>
      <c r="F78" s="57"/>
      <c r="G78" s="56"/>
      <c r="H78" s="57"/>
      <c r="I78" s="57"/>
      <c r="J78" s="57"/>
      <c r="K78" s="149"/>
      <c r="L78" s="64"/>
      <c r="M78" s="64"/>
    </row>
    <row r="79" spans="1:13">
      <c r="A79" s="74" t="s">
        <v>52</v>
      </c>
      <c r="B79" s="54"/>
      <c r="C79" s="55">
        <v>13232300</v>
      </c>
      <c r="D79" s="73">
        <f>D57</f>
        <v>5.6732999999999999E-2</v>
      </c>
      <c r="E79" s="57"/>
      <c r="F79" s="57">
        <f t="shared" ref="F79:F80" si="12">ROUND($C79*D79,0)</f>
        <v>750708</v>
      </c>
      <c r="G79" s="73">
        <f>G57</f>
        <v>5.9951000000000004E-2</v>
      </c>
      <c r="H79" s="57"/>
      <c r="I79" s="57">
        <f t="shared" ref="I79:I80" si="13">ROUND($C79*G79,0)</f>
        <v>793290</v>
      </c>
      <c r="J79" s="57"/>
      <c r="K79" s="310" t="s">
        <v>119</v>
      </c>
      <c r="L79" s="310"/>
      <c r="M79" s="310"/>
    </row>
    <row r="80" spans="1:13">
      <c r="A80" s="74" t="s">
        <v>120</v>
      </c>
      <c r="B80" s="54"/>
      <c r="C80" s="55">
        <f>C79</f>
        <v>13232300</v>
      </c>
      <c r="D80" s="73">
        <f>'Exh. JAP-39 (Tariff)'!E51-D79</f>
        <v>-1.9570000000000004E-3</v>
      </c>
      <c r="E80" s="57"/>
      <c r="F80" s="57">
        <f t="shared" si="12"/>
        <v>-25896</v>
      </c>
      <c r="G80" s="73">
        <f>-M100</f>
        <v>-2.362E-3</v>
      </c>
      <c r="H80" s="57"/>
      <c r="I80" s="57">
        <f t="shared" si="13"/>
        <v>-31255</v>
      </c>
      <c r="J80" s="57"/>
      <c r="K80" s="310" t="s">
        <v>143</v>
      </c>
      <c r="L80" s="310"/>
      <c r="M80" s="310"/>
    </row>
    <row r="81" spans="1:13">
      <c r="A81" s="80" t="s">
        <v>36</v>
      </c>
      <c r="B81" s="54"/>
      <c r="C81" s="100">
        <f>SUM(C79:C79)</f>
        <v>13232300</v>
      </c>
      <c r="D81" s="101"/>
      <c r="E81" s="54"/>
      <c r="F81" s="99">
        <f>SUM(F79:F80)</f>
        <v>724812</v>
      </c>
      <c r="G81" s="101"/>
      <c r="H81" s="54"/>
      <c r="I81" s="99">
        <f>SUM(I79:I80)</f>
        <v>762035</v>
      </c>
      <c r="J81" s="57"/>
      <c r="K81" s="149"/>
      <c r="L81" s="64"/>
      <c r="M81" s="64"/>
    </row>
    <row r="82" spans="1:13">
      <c r="A82" s="74" t="s">
        <v>83</v>
      </c>
      <c r="B82" s="54"/>
      <c r="C82" s="55">
        <v>0</v>
      </c>
      <c r="D82" s="73">
        <f>D79</f>
        <v>5.6732999999999999E-2</v>
      </c>
      <c r="E82" s="54"/>
      <c r="F82" s="57">
        <f t="shared" ref="F82:F83" si="14">ROUND($C82*D82,0)</f>
        <v>0</v>
      </c>
      <c r="G82" s="73"/>
      <c r="H82" s="54"/>
      <c r="I82" s="57">
        <f t="shared" ref="I82:I83" si="15">ROUND($C82*G82,0)</f>
        <v>0</v>
      </c>
      <c r="J82" s="57"/>
      <c r="K82" s="149"/>
      <c r="L82" s="64"/>
      <c r="M82" s="64"/>
    </row>
    <row r="83" spans="1:13">
      <c r="A83" s="76" t="s">
        <v>88</v>
      </c>
      <c r="B83" s="54"/>
      <c r="C83" s="81">
        <v>0</v>
      </c>
      <c r="D83" s="73">
        <f>ROUND(SUM(F77,F81,F82,F89,F93)/SUM(C81:C82),6)</f>
        <v>7.8176999999999996E-2</v>
      </c>
      <c r="E83" s="54"/>
      <c r="F83" s="57">
        <f t="shared" si="14"/>
        <v>0</v>
      </c>
      <c r="G83" s="73">
        <f>ROUND(SUM(I77,I81,I82,I89,I93)/SUM(C81:C82),6)</f>
        <v>8.2581000000000002E-2</v>
      </c>
      <c r="H83" s="54"/>
      <c r="I83" s="57">
        <f t="shared" si="15"/>
        <v>0</v>
      </c>
      <c r="J83" s="69"/>
      <c r="K83" s="63"/>
      <c r="L83" s="64"/>
      <c r="M83" s="64"/>
    </row>
    <row r="84" spans="1:13">
      <c r="A84" s="80" t="s">
        <v>36</v>
      </c>
      <c r="B84" s="54"/>
      <c r="C84" s="100">
        <f>SUM(C81:C83)</f>
        <v>13232300</v>
      </c>
      <c r="D84" s="54"/>
      <c r="E84" s="54"/>
      <c r="F84" s="99">
        <f>SUM(F81:F83)</f>
        <v>724812</v>
      </c>
      <c r="G84" s="54"/>
      <c r="H84" s="54"/>
      <c r="I84" s="99">
        <f>SUM(I81:I83)</f>
        <v>762035</v>
      </c>
      <c r="J84" s="69"/>
      <c r="K84" s="149"/>
      <c r="L84" s="64"/>
      <c r="M84" s="64"/>
    </row>
    <row r="85" spans="1:13">
      <c r="A85" s="54" t="s">
        <v>45</v>
      </c>
      <c r="B85" s="54"/>
      <c r="C85" s="55"/>
      <c r="D85" s="93"/>
      <c r="E85" s="54"/>
      <c r="F85" s="57"/>
      <c r="G85" s="93"/>
      <c r="H85" s="54"/>
      <c r="I85" s="57"/>
      <c r="J85" s="57"/>
      <c r="K85" s="149"/>
      <c r="L85" s="151"/>
      <c r="M85" s="64"/>
    </row>
    <row r="86" spans="1:13">
      <c r="A86" s="74" t="s">
        <v>115</v>
      </c>
      <c r="B86" s="54"/>
      <c r="C86" s="55">
        <v>16911</v>
      </c>
      <c r="D86" s="68">
        <f>D63</f>
        <v>11.65</v>
      </c>
      <c r="E86" s="54"/>
      <c r="F86" s="57">
        <f>ROUND(D86*$C86,0)</f>
        <v>197013</v>
      </c>
      <c r="G86" s="68">
        <f>G63</f>
        <v>12.48</v>
      </c>
      <c r="H86" s="54"/>
      <c r="I86" s="57">
        <f>ROUND(G86*$C86,0)</f>
        <v>211049</v>
      </c>
      <c r="J86" s="57"/>
      <c r="K86" s="310" t="s">
        <v>119</v>
      </c>
      <c r="L86" s="310"/>
      <c r="M86" s="310"/>
    </row>
    <row r="87" spans="1:13">
      <c r="A87" s="74" t="s">
        <v>116</v>
      </c>
      <c r="B87" s="54"/>
      <c r="C87" s="55">
        <v>14150</v>
      </c>
      <c r="D87" s="68">
        <f>D64</f>
        <v>7.76</v>
      </c>
      <c r="E87" s="54"/>
      <c r="F87" s="57">
        <f>ROUND(D87*$C87,0)</f>
        <v>109804</v>
      </c>
      <c r="G87" s="68">
        <f>G64</f>
        <v>8.33</v>
      </c>
      <c r="H87" s="54"/>
      <c r="I87" s="57">
        <f>ROUND(G87*$C87,0)</f>
        <v>117870</v>
      </c>
      <c r="J87" s="57"/>
      <c r="K87" s="310" t="s">
        <v>119</v>
      </c>
      <c r="L87" s="310"/>
      <c r="M87" s="310"/>
    </row>
    <row r="88" spans="1:13">
      <c r="A88" s="74" t="s">
        <v>120</v>
      </c>
      <c r="B88" s="54"/>
      <c r="C88" s="55">
        <f>C87+C86</f>
        <v>31061</v>
      </c>
      <c r="D88" s="68">
        <f>'Exh. JAP-39 (Tariff)'!E46</f>
        <v>-0.35</v>
      </c>
      <c r="E88" s="54"/>
      <c r="F88" s="57">
        <f>ROUND(D88*$C88,0)</f>
        <v>-10871</v>
      </c>
      <c r="G88" s="68">
        <f>-M99</f>
        <v>-0.41</v>
      </c>
      <c r="H88" s="54"/>
      <c r="I88" s="57">
        <f>ROUND(G88*$C88,0)</f>
        <v>-12735</v>
      </c>
      <c r="J88" s="57"/>
      <c r="K88" s="310" t="s">
        <v>143</v>
      </c>
      <c r="L88" s="310"/>
      <c r="M88" s="310"/>
    </row>
    <row r="89" spans="1:13">
      <c r="A89" s="80" t="s">
        <v>36</v>
      </c>
      <c r="B89" s="54"/>
      <c r="C89" s="100">
        <f>SUM(C86:C87)</f>
        <v>31061</v>
      </c>
      <c r="D89" s="93"/>
      <c r="E89" s="54"/>
      <c r="F89" s="99">
        <f>SUM(F86:F88)</f>
        <v>295946</v>
      </c>
      <c r="G89" s="93"/>
      <c r="H89" s="54"/>
      <c r="I89" s="99">
        <f>SUM(I86:I88)</f>
        <v>316184</v>
      </c>
      <c r="J89" s="57"/>
      <c r="K89" s="149"/>
      <c r="L89" s="64"/>
      <c r="M89" s="64"/>
    </row>
    <row r="90" spans="1:13">
      <c r="A90" s="54"/>
      <c r="B90" s="54"/>
      <c r="C90" s="81"/>
      <c r="D90" s="81"/>
      <c r="E90" s="54"/>
      <c r="F90" s="69"/>
      <c r="G90" s="81"/>
      <c r="H90" s="54"/>
      <c r="I90" s="69"/>
      <c r="J90" s="69"/>
      <c r="K90" s="149"/>
      <c r="L90" s="64"/>
      <c r="M90" s="64"/>
    </row>
    <row r="91" spans="1:13">
      <c r="A91" s="54" t="s">
        <v>110</v>
      </c>
      <c r="B91" s="54"/>
      <c r="C91" s="55">
        <v>4625110</v>
      </c>
      <c r="D91" s="97">
        <f>D67</f>
        <v>1.24E-3</v>
      </c>
      <c r="E91" s="54"/>
      <c r="F91" s="57">
        <f>ROUND(D91*$C91,0)</f>
        <v>5735</v>
      </c>
      <c r="G91" s="97">
        <f>G67</f>
        <v>1.32E-3</v>
      </c>
      <c r="H91" s="54"/>
      <c r="I91" s="57">
        <f>ROUND(G91*$C91,0)</f>
        <v>6105</v>
      </c>
      <c r="J91" s="69"/>
      <c r="K91" s="310" t="s">
        <v>119</v>
      </c>
      <c r="L91" s="310"/>
      <c r="M91" s="310"/>
    </row>
    <row r="92" spans="1:13">
      <c r="A92" s="74" t="s">
        <v>120</v>
      </c>
      <c r="B92" s="54"/>
      <c r="C92" s="55">
        <f>C91+C90</f>
        <v>4625110</v>
      </c>
      <c r="D92" s="97">
        <f>'Exh. JAP-39 (Tariff)'!E52-'Exh. JAP-39 (SV RD)'!D91</f>
        <v>-4.0000000000000105E-5</v>
      </c>
      <c r="E92" s="54"/>
      <c r="F92" s="57">
        <f>ROUND(D92*$C92,0)</f>
        <v>-185</v>
      </c>
      <c r="G92" s="97">
        <f>-M101</f>
        <v>-5.0000000000000002E-5</v>
      </c>
      <c r="H92" s="54"/>
      <c r="I92" s="57">
        <f>ROUND(G92*$C92,0)</f>
        <v>-231</v>
      </c>
      <c r="J92" s="69"/>
      <c r="K92" s="310" t="s">
        <v>143</v>
      </c>
      <c r="L92" s="310"/>
      <c r="M92" s="310"/>
    </row>
    <row r="93" spans="1:13">
      <c r="A93" s="80" t="s">
        <v>36</v>
      </c>
      <c r="B93" s="54"/>
      <c r="C93" s="55"/>
      <c r="D93" s="97"/>
      <c r="E93" s="54"/>
      <c r="F93" s="99">
        <f>SUM(F90:F92)</f>
        <v>5550</v>
      </c>
      <c r="G93" s="68"/>
      <c r="H93" s="54"/>
      <c r="I93" s="99">
        <f>SUM(I90:I92)</f>
        <v>5874</v>
      </c>
      <c r="J93" s="69"/>
      <c r="K93" s="149"/>
      <c r="L93" s="151"/>
      <c r="M93" s="64"/>
    </row>
    <row r="94" spans="1:13">
      <c r="A94" s="54"/>
      <c r="B94" s="54"/>
      <c r="C94" s="81"/>
      <c r="D94" s="81"/>
      <c r="E94" s="54"/>
      <c r="F94" s="69"/>
      <c r="G94" s="81"/>
      <c r="H94" s="54"/>
      <c r="I94" s="69"/>
      <c r="J94" s="69"/>
      <c r="K94" s="149"/>
      <c r="L94" s="151"/>
      <c r="M94" s="64"/>
    </row>
    <row r="95" spans="1:13" ht="16.5" thickBot="1">
      <c r="A95" s="54" t="s">
        <v>40</v>
      </c>
      <c r="B95" s="54"/>
      <c r="C95" s="81"/>
      <c r="D95" s="81"/>
      <c r="E95" s="54"/>
      <c r="F95" s="89">
        <f>SUM(F93,F89,F84,F77)</f>
        <v>1034456</v>
      </c>
      <c r="G95" s="81"/>
      <c r="H95" s="54"/>
      <c r="I95" s="89">
        <f>SUM(I93,I89,I84,I77)</f>
        <v>1092741</v>
      </c>
      <c r="J95" s="69"/>
      <c r="K95" s="149"/>
      <c r="L95" s="151"/>
      <c r="M95" s="64"/>
    </row>
    <row r="96" spans="1:13" ht="17.25" thickTop="1" thickBot="1">
      <c r="A96" s="54"/>
      <c r="B96" s="98"/>
      <c r="C96" s="81"/>
      <c r="D96" s="81"/>
      <c r="E96" s="54"/>
      <c r="F96" s="57"/>
      <c r="G96" s="81"/>
      <c r="H96" s="54"/>
      <c r="I96" s="57"/>
      <c r="J96" s="57"/>
      <c r="K96" s="150"/>
      <c r="L96" s="151"/>
      <c r="M96" s="64"/>
    </row>
    <row r="97" spans="1:15" ht="16.5" thickBot="1">
      <c r="K97" s="312" t="s">
        <v>131</v>
      </c>
      <c r="L97" s="313"/>
      <c r="M97" s="314"/>
    </row>
    <row r="98" spans="1:15">
      <c r="B98" s="54"/>
      <c r="C98" s="55"/>
      <c r="D98" s="57"/>
      <c r="E98" s="54"/>
      <c r="F98" s="54"/>
      <c r="G98" s="57"/>
      <c r="H98" s="54"/>
      <c r="I98" s="57" t="s">
        <v>0</v>
      </c>
      <c r="J98" s="57"/>
      <c r="K98" s="152" t="s">
        <v>132</v>
      </c>
      <c r="L98" s="153">
        <f>'Exh. JAP-39 (PV RD)'!G15-'Exh. JAP-39 (SV RD)'!G55</f>
        <v>249.44</v>
      </c>
      <c r="M98" s="154"/>
    </row>
    <row r="99" spans="1:15">
      <c r="B99" s="54"/>
      <c r="C99" s="54" t="s">
        <v>0</v>
      </c>
      <c r="D99" s="57"/>
      <c r="E99" s="54"/>
      <c r="F99" s="54"/>
      <c r="G99" s="57"/>
      <c r="H99" s="54"/>
      <c r="I99" s="54"/>
      <c r="J99" s="54"/>
      <c r="K99" s="152" t="s">
        <v>133</v>
      </c>
      <c r="L99" s="225">
        <v>3.9399999999999998E-2</v>
      </c>
      <c r="M99" s="155">
        <f>ROUND(+L99*(I65/C65),2)</f>
        <v>0.41</v>
      </c>
    </row>
    <row r="100" spans="1:15">
      <c r="A100" s="54"/>
      <c r="B100" s="54"/>
      <c r="C100" s="54"/>
      <c r="D100" s="57"/>
      <c r="E100" s="54"/>
      <c r="F100" s="54"/>
      <c r="G100" s="57"/>
      <c r="H100" s="54"/>
      <c r="I100" s="54"/>
      <c r="J100" s="54"/>
      <c r="K100" s="152" t="s">
        <v>134</v>
      </c>
      <c r="L100" s="156">
        <f>+L99</f>
        <v>3.9399999999999998E-2</v>
      </c>
      <c r="M100" s="157">
        <f>ROUND(+L100*G57,6)</f>
        <v>2.362E-3</v>
      </c>
    </row>
    <row r="101" spans="1:15" ht="16.5" thickBot="1">
      <c r="A101" s="54"/>
      <c r="B101" s="54"/>
      <c r="C101" s="54"/>
      <c r="D101" s="57"/>
      <c r="E101" s="54"/>
      <c r="F101" s="54"/>
      <c r="G101" s="57"/>
      <c r="H101" s="54"/>
      <c r="I101" s="54"/>
      <c r="J101" s="54"/>
      <c r="K101" s="158" t="s">
        <v>144</v>
      </c>
      <c r="L101" s="159">
        <f>+L100</f>
        <v>3.9399999999999998E-2</v>
      </c>
      <c r="M101" s="160">
        <f>ROUND(+L101*G67,5)</f>
        <v>5.0000000000000002E-5</v>
      </c>
    </row>
    <row r="102" spans="1:15">
      <c r="A102" s="67" t="s">
        <v>124</v>
      </c>
      <c r="B102" s="54"/>
      <c r="C102" s="54"/>
      <c r="D102" s="57"/>
      <c r="E102" s="54"/>
      <c r="F102" s="54"/>
      <c r="G102" s="57"/>
      <c r="H102" s="54"/>
      <c r="I102" s="54"/>
      <c r="J102" s="54"/>
      <c r="K102" s="274"/>
      <c r="L102" s="161"/>
      <c r="M102" s="162"/>
    </row>
    <row r="103" spans="1:15">
      <c r="A103" s="67" t="s">
        <v>125</v>
      </c>
      <c r="B103" s="54"/>
      <c r="C103" s="54"/>
      <c r="D103" s="57"/>
      <c r="E103" s="54"/>
      <c r="F103" s="54"/>
      <c r="G103" s="57"/>
      <c r="H103" s="54"/>
      <c r="I103" s="54"/>
      <c r="J103" s="54"/>
      <c r="K103" s="274"/>
      <c r="L103" s="161"/>
      <c r="M103" s="162"/>
    </row>
    <row r="104" spans="1:15">
      <c r="A104" s="54"/>
      <c r="B104" s="54"/>
      <c r="C104" s="54"/>
      <c r="D104" s="57"/>
      <c r="E104" s="54"/>
      <c r="F104" s="54"/>
      <c r="G104" s="57"/>
      <c r="H104" s="54"/>
      <c r="I104" s="54"/>
      <c r="J104" s="54"/>
      <c r="K104" s="274"/>
      <c r="L104" s="161"/>
      <c r="M104" s="162"/>
      <c r="N104" s="163"/>
      <c r="O104" s="28"/>
    </row>
    <row r="105" spans="1:15">
      <c r="A105" s="54" t="s">
        <v>43</v>
      </c>
      <c r="B105" s="54"/>
      <c r="C105" s="55"/>
      <c r="D105" s="68"/>
      <c r="E105" s="54"/>
      <c r="F105" s="57"/>
      <c r="G105" s="68"/>
      <c r="H105" s="54"/>
      <c r="I105" s="57"/>
      <c r="J105" s="57"/>
      <c r="K105" s="63"/>
      <c r="L105" s="64"/>
      <c r="M105" s="64"/>
    </row>
    <row r="106" spans="1:15">
      <c r="A106" s="54" t="s">
        <v>41</v>
      </c>
      <c r="B106" s="54"/>
      <c r="C106" s="55">
        <v>2248</v>
      </c>
      <c r="D106" s="68">
        <f>'Exh. JAP-39 (Tariff)'!E55</f>
        <v>9.56</v>
      </c>
      <c r="E106" s="54"/>
      <c r="F106" s="57">
        <f t="shared" ref="F106:F107" si="16">ROUND(D106*$C106,0)</f>
        <v>21491</v>
      </c>
      <c r="G106" s="68">
        <f>ROUND(D106*(1+$M$47),2)</f>
        <v>10.15</v>
      </c>
      <c r="H106" s="54"/>
      <c r="I106" s="57">
        <f t="shared" ref="I106:I107" si="17">ROUND(G106*$C106,0)</f>
        <v>22817</v>
      </c>
      <c r="J106" s="57"/>
      <c r="K106" s="310" t="s">
        <v>100</v>
      </c>
      <c r="L106" s="310"/>
      <c r="M106" s="310"/>
    </row>
    <row r="107" spans="1:15">
      <c r="A107" s="54" t="s">
        <v>42</v>
      </c>
      <c r="B107" s="54"/>
      <c r="C107" s="55">
        <v>5042</v>
      </c>
      <c r="D107" s="68">
        <f>'Exh. JAP-39 (Tariff)'!E56</f>
        <v>24.28</v>
      </c>
      <c r="E107" s="54"/>
      <c r="F107" s="57">
        <f t="shared" si="16"/>
        <v>122420</v>
      </c>
      <c r="G107" s="68">
        <f>ROUND(D107*(1+$M$47),2)</f>
        <v>25.77</v>
      </c>
      <c r="H107" s="54"/>
      <c r="I107" s="57">
        <f t="shared" si="17"/>
        <v>129932</v>
      </c>
      <c r="J107" s="57"/>
      <c r="K107" s="310" t="s">
        <v>100</v>
      </c>
      <c r="L107" s="310"/>
      <c r="M107" s="310"/>
    </row>
    <row r="108" spans="1:15">
      <c r="A108" s="80" t="s">
        <v>36</v>
      </c>
      <c r="B108" s="54"/>
      <c r="C108" s="100">
        <f>SUM(C106:C107)</f>
        <v>7290</v>
      </c>
      <c r="D108" s="68"/>
      <c r="E108" s="54"/>
      <c r="F108" s="99">
        <f>SUM(F106:F107)</f>
        <v>143911</v>
      </c>
      <c r="G108" s="68"/>
      <c r="H108" s="54"/>
      <c r="I108" s="99">
        <f>SUM(I106:I107)</f>
        <v>152749</v>
      </c>
      <c r="J108" s="57"/>
      <c r="K108" s="310"/>
      <c r="L108" s="310"/>
      <c r="M108" s="310"/>
    </row>
    <row r="109" spans="1:15">
      <c r="A109" s="54" t="s">
        <v>46</v>
      </c>
      <c r="B109" s="54"/>
      <c r="C109" s="55"/>
      <c r="D109" s="56"/>
      <c r="E109" s="57"/>
      <c r="F109" s="57"/>
      <c r="G109" s="56"/>
      <c r="H109" s="57"/>
      <c r="I109" s="57"/>
      <c r="J109" s="57"/>
      <c r="K109" s="149"/>
      <c r="L109" s="64"/>
      <c r="M109" s="64"/>
    </row>
    <row r="110" spans="1:15">
      <c r="A110" s="74" t="s">
        <v>106</v>
      </c>
      <c r="B110" s="54"/>
      <c r="C110" s="55">
        <v>1724764</v>
      </c>
      <c r="D110" s="73">
        <f>'Exh. JAP-39 (Tariff)'!E58</f>
        <v>8.9582999999999996E-2</v>
      </c>
      <c r="E110" s="57"/>
      <c r="F110" s="57">
        <f>ROUND($C110*D110,0)</f>
        <v>154510</v>
      </c>
      <c r="G110" s="73">
        <f>ROUND(D110*(1+$M$47),6)</f>
        <v>9.5068E-2</v>
      </c>
      <c r="H110" s="57"/>
      <c r="I110" s="57">
        <f>ROUND($C110*G110,0)</f>
        <v>163970</v>
      </c>
      <c r="J110" s="57"/>
      <c r="K110" s="310" t="s">
        <v>100</v>
      </c>
      <c r="L110" s="310"/>
      <c r="M110" s="310"/>
    </row>
    <row r="111" spans="1:15">
      <c r="A111" s="74" t="s">
        <v>127</v>
      </c>
      <c r="B111" s="54"/>
      <c r="C111" s="55">
        <v>19062</v>
      </c>
      <c r="D111" s="73">
        <f>'Exh. JAP-39 (Tariff)'!E59</f>
        <v>6.8035999999999999E-2</v>
      </c>
      <c r="E111" s="57"/>
      <c r="F111" s="57">
        <f>ROUND($C111*D111,0)</f>
        <v>1297</v>
      </c>
      <c r="G111" s="73">
        <f>ROUND(D111*(1+$M$47),6)</f>
        <v>7.2202000000000002E-2</v>
      </c>
      <c r="H111" s="57"/>
      <c r="I111" s="57">
        <f>ROUND($C111*G111,0)</f>
        <v>1376</v>
      </c>
      <c r="J111" s="57"/>
      <c r="K111" s="310" t="s">
        <v>100</v>
      </c>
      <c r="L111" s="310"/>
      <c r="M111" s="310"/>
    </row>
    <row r="112" spans="1:15">
      <c r="A112" s="74" t="s">
        <v>105</v>
      </c>
      <c r="B112" s="54"/>
      <c r="C112" s="55">
        <v>10852548</v>
      </c>
      <c r="D112" s="73">
        <f>'Exh. JAP-39 (Tariff)'!E60</f>
        <v>6.2075999999999999E-2</v>
      </c>
      <c r="E112" s="57"/>
      <c r="F112" s="57">
        <f t="shared" ref="F112:F113" si="18">ROUND($C112*D112,0)</f>
        <v>673683</v>
      </c>
      <c r="G112" s="73">
        <f>ROUND(D112*(1+$M$47),6)</f>
        <v>6.5877000000000005E-2</v>
      </c>
      <c r="H112" s="57"/>
      <c r="I112" s="57">
        <f t="shared" ref="I112:I113" si="19">ROUND($C112*G112,0)</f>
        <v>714933</v>
      </c>
      <c r="J112" s="57"/>
      <c r="K112" s="310" t="s">
        <v>100</v>
      </c>
      <c r="L112" s="310"/>
      <c r="M112" s="310"/>
    </row>
    <row r="113" spans="1:13">
      <c r="A113" s="74" t="s">
        <v>126</v>
      </c>
      <c r="B113" s="54"/>
      <c r="C113" s="55">
        <v>368027</v>
      </c>
      <c r="D113" s="73">
        <f>'Exh. JAP-39 (Tariff)'!E61</f>
        <v>5.3189E-2</v>
      </c>
      <c r="E113" s="57"/>
      <c r="F113" s="57">
        <f t="shared" si="18"/>
        <v>19575</v>
      </c>
      <c r="G113" s="73">
        <f>ROUND(D113*(1+$M$47),6)</f>
        <v>5.6446000000000003E-2</v>
      </c>
      <c r="H113" s="57"/>
      <c r="I113" s="57">
        <f t="shared" si="19"/>
        <v>20774</v>
      </c>
      <c r="J113" s="57"/>
      <c r="K113" s="310" t="s">
        <v>100</v>
      </c>
      <c r="L113" s="310"/>
      <c r="M113" s="310"/>
    </row>
    <row r="114" spans="1:13">
      <c r="A114" s="80" t="s">
        <v>36</v>
      </c>
      <c r="B114" s="54"/>
      <c r="C114" s="100">
        <f>SUM(C110:C113)</f>
        <v>12964401</v>
      </c>
      <c r="D114" s="101"/>
      <c r="E114" s="54"/>
      <c r="F114" s="99">
        <f>SUM(F110:F113)</f>
        <v>849065</v>
      </c>
      <c r="G114" s="101"/>
      <c r="H114" s="54"/>
      <c r="I114" s="99">
        <f>SUM(I110:I113)</f>
        <v>901053</v>
      </c>
      <c r="J114" s="57"/>
      <c r="K114" s="149"/>
      <c r="L114" s="64"/>
      <c r="M114" s="64"/>
    </row>
    <row r="115" spans="1:13">
      <c r="A115" s="74" t="s">
        <v>98</v>
      </c>
      <c r="B115" s="54"/>
      <c r="C115" s="55">
        <v>0</v>
      </c>
      <c r="D115" s="73">
        <f>D111</f>
        <v>6.8035999999999999E-2</v>
      </c>
      <c r="E115" s="54"/>
      <c r="F115" s="57">
        <f t="shared" ref="F115:F117" si="20">ROUND($C115*D115,0)</f>
        <v>0</v>
      </c>
      <c r="G115" s="73">
        <f>G111</f>
        <v>7.2202000000000002E-2</v>
      </c>
      <c r="H115" s="54"/>
      <c r="I115" s="57">
        <f t="shared" ref="I115:I117" si="21">ROUND($C115*G115,0)</f>
        <v>0</v>
      </c>
      <c r="J115" s="57"/>
      <c r="K115" s="149"/>
      <c r="L115" s="64"/>
      <c r="M115" s="64"/>
    </row>
    <row r="116" spans="1:13">
      <c r="A116" s="74" t="s">
        <v>99</v>
      </c>
      <c r="B116" s="54"/>
      <c r="C116" s="55">
        <v>-158746.83383420159</v>
      </c>
      <c r="D116" s="73">
        <f>D113</f>
        <v>5.3189E-2</v>
      </c>
      <c r="E116" s="54"/>
      <c r="F116" s="57">
        <f t="shared" si="20"/>
        <v>-8444</v>
      </c>
      <c r="G116" s="73">
        <f>G113</f>
        <v>5.6446000000000003E-2</v>
      </c>
      <c r="H116" s="54"/>
      <c r="I116" s="57">
        <f t="shared" si="21"/>
        <v>-8961</v>
      </c>
      <c r="J116" s="57"/>
      <c r="K116" s="63"/>
      <c r="L116" s="64"/>
      <c r="M116" s="64"/>
    </row>
    <row r="117" spans="1:13">
      <c r="A117" s="76" t="s">
        <v>88</v>
      </c>
      <c r="B117" s="54"/>
      <c r="C117" s="81">
        <v>1521175.2230270188</v>
      </c>
      <c r="D117" s="73">
        <f>ROUND(SUM(E95,F108,F114:F116,F122,F124)/SUM(C114:C116),6)</f>
        <v>7.9413999999999998E-2</v>
      </c>
      <c r="E117" s="54"/>
      <c r="F117" s="57">
        <f t="shared" si="20"/>
        <v>120803</v>
      </c>
      <c r="G117" s="73">
        <f>ROUND(SUM(H95,I108,I114:I116,I122,I124)/SUM(C114:C116),6)</f>
        <v>8.4279000000000007E-2</v>
      </c>
      <c r="H117" s="54"/>
      <c r="I117" s="57">
        <f t="shared" si="21"/>
        <v>128203</v>
      </c>
      <c r="J117" s="69"/>
      <c r="K117" s="310" t="s">
        <v>100</v>
      </c>
      <c r="L117" s="310"/>
      <c r="M117" s="310"/>
    </row>
    <row r="118" spans="1:13">
      <c r="A118" s="80" t="s">
        <v>36</v>
      </c>
      <c r="B118" s="54"/>
      <c r="C118" s="100">
        <f>SUM(C114:C117)</f>
        <v>14326829.389192818</v>
      </c>
      <c r="D118" s="54"/>
      <c r="E118" s="54"/>
      <c r="F118" s="99">
        <f>SUM(F114:F117)</f>
        <v>961424</v>
      </c>
      <c r="G118" s="54"/>
      <c r="H118" s="54"/>
      <c r="I118" s="99">
        <f>SUM(I114:I117)</f>
        <v>1020295</v>
      </c>
      <c r="J118" s="69"/>
      <c r="K118" s="149"/>
      <c r="L118" s="64"/>
      <c r="M118" s="64"/>
    </row>
    <row r="119" spans="1:13">
      <c r="A119" s="54" t="s">
        <v>45</v>
      </c>
      <c r="B119" s="54"/>
      <c r="C119" s="55"/>
      <c r="D119" s="93"/>
      <c r="E119" s="54"/>
      <c r="F119" s="57"/>
      <c r="G119" s="93"/>
      <c r="H119" s="54"/>
      <c r="I119" s="57"/>
      <c r="J119" s="57"/>
      <c r="K119" s="149"/>
      <c r="L119" s="151"/>
      <c r="M119" s="64"/>
    </row>
    <row r="120" spans="1:13">
      <c r="A120" s="74" t="s">
        <v>108</v>
      </c>
      <c r="B120" s="54"/>
      <c r="C120" s="55">
        <v>1931</v>
      </c>
      <c r="D120" s="68">
        <f>'Exh. JAP-39 (Tariff)'!E64</f>
        <v>8.83</v>
      </c>
      <c r="E120" s="54"/>
      <c r="F120" s="57">
        <f>ROUND(D120*$C120,0)</f>
        <v>17051</v>
      </c>
      <c r="G120" s="68">
        <f>ROUND(D120*(1+$M$47),2)</f>
        <v>9.3699999999999992</v>
      </c>
      <c r="H120" s="54"/>
      <c r="I120" s="57">
        <f>ROUND(G120*$C120,0)</f>
        <v>18093</v>
      </c>
      <c r="J120" s="57"/>
      <c r="K120" s="310" t="s">
        <v>100</v>
      </c>
      <c r="L120" s="310"/>
      <c r="M120" s="310"/>
    </row>
    <row r="121" spans="1:13">
      <c r="A121" s="74" t="s">
        <v>109</v>
      </c>
      <c r="B121" s="54"/>
      <c r="C121" s="55">
        <v>3438</v>
      </c>
      <c r="D121" s="68">
        <f>'Exh. JAP-39 (Tariff)'!E65</f>
        <v>4.3499999999999996</v>
      </c>
      <c r="E121" s="54"/>
      <c r="F121" s="57">
        <f>ROUND(D121*$C121,0)</f>
        <v>14955</v>
      </c>
      <c r="G121" s="68">
        <f>ROUND(D121*(1+$M$47),2)</f>
        <v>4.62</v>
      </c>
      <c r="H121" s="54"/>
      <c r="I121" s="57">
        <f>ROUND(G121*$C121,0)</f>
        <v>15884</v>
      </c>
      <c r="J121" s="57"/>
      <c r="K121" s="310" t="s">
        <v>100</v>
      </c>
      <c r="L121" s="310"/>
      <c r="M121" s="310"/>
    </row>
    <row r="122" spans="1:13">
      <c r="A122" s="80" t="s">
        <v>36</v>
      </c>
      <c r="B122" s="54"/>
      <c r="C122" s="100">
        <f>SUM(C120:C121)</f>
        <v>5369</v>
      </c>
      <c r="D122" s="93"/>
      <c r="E122" s="54"/>
      <c r="F122" s="99">
        <f>SUM(F120:F121)</f>
        <v>32006</v>
      </c>
      <c r="G122" s="93"/>
      <c r="H122" s="54"/>
      <c r="I122" s="99">
        <f>SUM(I120:I121)</f>
        <v>33977</v>
      </c>
      <c r="J122" s="57"/>
      <c r="K122" s="149"/>
      <c r="L122" s="64"/>
      <c r="M122" s="64"/>
    </row>
    <row r="123" spans="1:13">
      <c r="A123" s="54"/>
      <c r="B123" s="54"/>
      <c r="C123" s="81"/>
      <c r="D123" s="81"/>
      <c r="E123" s="54"/>
      <c r="F123" s="69"/>
      <c r="G123" s="81"/>
      <c r="H123" s="54"/>
      <c r="I123" s="69"/>
      <c r="J123" s="69"/>
      <c r="K123" s="149"/>
      <c r="L123" s="64"/>
      <c r="M123" s="64"/>
    </row>
    <row r="124" spans="1:13">
      <c r="A124" s="54" t="s">
        <v>110</v>
      </c>
      <c r="B124" s="54"/>
      <c r="C124" s="55">
        <v>144115</v>
      </c>
      <c r="D124" s="97">
        <f>'Exh. JAP-39 (Tariff)'!E67</f>
        <v>2.81E-3</v>
      </c>
      <c r="E124" s="54"/>
      <c r="F124" s="57">
        <f>ROUND(D124*$C124,0)</f>
        <v>405</v>
      </c>
      <c r="G124" s="97">
        <f>ROUND(D124*(1+$M$47),5)</f>
        <v>2.98E-3</v>
      </c>
      <c r="H124" s="54"/>
      <c r="I124" s="57">
        <f>ROUND(G124*$C124,0)</f>
        <v>429</v>
      </c>
      <c r="J124" s="69"/>
      <c r="K124" s="310" t="s">
        <v>100</v>
      </c>
      <c r="L124" s="310"/>
      <c r="M124" s="310"/>
    </row>
    <row r="125" spans="1:13">
      <c r="A125" s="54"/>
      <c r="B125" s="54"/>
      <c r="C125" s="81"/>
      <c r="D125" s="81"/>
      <c r="E125" s="54"/>
      <c r="F125" s="69"/>
      <c r="G125" s="81"/>
      <c r="H125" s="54"/>
      <c r="I125" s="69"/>
      <c r="J125" s="69"/>
      <c r="K125" s="150"/>
      <c r="L125" s="151"/>
      <c r="M125" s="64"/>
    </row>
    <row r="126" spans="1:13" ht="16.5" thickBot="1">
      <c r="A126" s="54" t="s">
        <v>40</v>
      </c>
      <c r="B126" s="54"/>
      <c r="C126" s="81"/>
      <c r="D126" s="81"/>
      <c r="E126" s="54"/>
      <c r="F126" s="89">
        <f>SUM(F108,F118,F122,F124)</f>
        <v>1137746</v>
      </c>
      <c r="G126" s="81"/>
      <c r="H126" s="54"/>
      <c r="I126" s="89">
        <f>SUM(I108,I118,I122,I124)</f>
        <v>1207450</v>
      </c>
      <c r="J126" s="69"/>
      <c r="K126" s="149"/>
      <c r="L126" s="151"/>
      <c r="M126" s="64"/>
    </row>
    <row r="127" spans="1:13" ht="16.5" thickTop="1">
      <c r="A127" s="54"/>
      <c r="B127" s="98"/>
      <c r="C127" s="81"/>
      <c r="D127" s="81"/>
      <c r="E127" s="54"/>
      <c r="F127" s="57"/>
      <c r="G127" s="81"/>
      <c r="H127" s="54"/>
      <c r="I127" s="57"/>
      <c r="J127" s="57"/>
      <c r="K127" s="150"/>
      <c r="L127" s="151"/>
      <c r="M127" s="64"/>
    </row>
    <row r="128" spans="1:13">
      <c r="I128" s="66"/>
      <c r="K128" s="150"/>
      <c r="L128" s="151"/>
      <c r="M128" s="64"/>
    </row>
    <row r="129" spans="11:13">
      <c r="K129" s="150"/>
      <c r="L129" s="151"/>
      <c r="M129" s="64"/>
    </row>
  </sheetData>
  <mergeCells count="47">
    <mergeCell ref="K121:M121"/>
    <mergeCell ref="K124:M124"/>
    <mergeCell ref="K97:M97"/>
    <mergeCell ref="K111:M111"/>
    <mergeCell ref="K112:M112"/>
    <mergeCell ref="K113:M113"/>
    <mergeCell ref="K117:M117"/>
    <mergeCell ref="K120:M120"/>
    <mergeCell ref="K92:M92"/>
    <mergeCell ref="K108:M108"/>
    <mergeCell ref="K110:M110"/>
    <mergeCell ref="K106:M106"/>
    <mergeCell ref="K107:M107"/>
    <mergeCell ref="K80:M80"/>
    <mergeCell ref="K86:M86"/>
    <mergeCell ref="K87:M87"/>
    <mergeCell ref="K88:M88"/>
    <mergeCell ref="K91:M91"/>
    <mergeCell ref="K64:M64"/>
    <mergeCell ref="K67:M67"/>
    <mergeCell ref="K75:M75"/>
    <mergeCell ref="K77:M77"/>
    <mergeCell ref="K79:M79"/>
    <mergeCell ref="K45:M45"/>
    <mergeCell ref="K55:M55"/>
    <mergeCell ref="K57:M57"/>
    <mergeCell ref="K60:M60"/>
    <mergeCell ref="K63:M63"/>
    <mergeCell ref="K34:M34"/>
    <mergeCell ref="K35:M35"/>
    <mergeCell ref="K38:M38"/>
    <mergeCell ref="K41:M41"/>
    <mergeCell ref="K42:M42"/>
    <mergeCell ref="A2:J2"/>
    <mergeCell ref="A3:I3"/>
    <mergeCell ref="A4:I4"/>
    <mergeCell ref="D9:F9"/>
    <mergeCell ref="G9:I9"/>
    <mergeCell ref="K23:M23"/>
    <mergeCell ref="K24:M24"/>
    <mergeCell ref="K31:M31"/>
    <mergeCell ref="K33:M33"/>
    <mergeCell ref="K15:M15"/>
    <mergeCell ref="K16:M16"/>
    <mergeCell ref="K19:M19"/>
    <mergeCell ref="K20:M20"/>
    <mergeCell ref="K22:M22"/>
  </mergeCells>
  <printOptions horizontalCentered="1"/>
  <pageMargins left="0.7" right="0.7" top="0.75" bottom="0.71" header="0.3" footer="0.3"/>
  <pageSetup scale="54" fitToHeight="5" orientation="landscape" r:id="rId1"/>
  <headerFooter alignWithMargins="0">
    <oddFooter>&amp;RExhibit No.___(JAP-39)
Page &amp;P of &amp;N</oddFooter>
  </headerFooter>
  <rowBreaks count="2" manualBreakCount="2">
    <brk id="50" max="12" man="1"/>
    <brk id="10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9"/>
  <dimension ref="A1:AG74"/>
  <sheetViews>
    <sheetView view="pageBreakPreview" zoomScale="80" zoomScaleNormal="100" zoomScaleSheetLayoutView="80" workbookViewId="0">
      <pane ySplit="10" topLeftCell="A61" activePane="bottomLeft" state="frozen"/>
      <selection sqref="A1:XFD1048576"/>
      <selection pane="bottomLeft" activeCell="F62" sqref="F62"/>
    </sheetView>
  </sheetViews>
  <sheetFormatPr defaultColWidth="10.25" defaultRowHeight="15.75"/>
  <cols>
    <col min="1" max="1" width="31.375" style="44" bestFit="1" customWidth="1"/>
    <col min="2" max="2" width="1.375" style="44" bestFit="1" customWidth="1"/>
    <col min="3" max="3" width="13.25" style="44" bestFit="1" customWidth="1"/>
    <col min="4" max="4" width="10.75" style="44" bestFit="1" customWidth="1"/>
    <col min="5" max="5" width="2" style="44" bestFit="1" customWidth="1"/>
    <col min="6" max="6" width="12.625" style="44" bestFit="1" customWidth="1"/>
    <col min="7" max="7" width="10.75" style="44" bestFit="1" customWidth="1"/>
    <col min="8" max="8" width="2" style="44" bestFit="1" customWidth="1"/>
    <col min="9" max="9" width="16.125" style="44" customWidth="1"/>
    <col min="10" max="10" width="1.625" style="44" customWidth="1"/>
    <col min="11" max="11" width="23.875" style="44" bestFit="1" customWidth="1"/>
    <col min="12" max="12" width="12.625" style="65" bestFit="1" customWidth="1"/>
    <col min="13" max="13" width="11.875" style="65" bestFit="1" customWidth="1"/>
    <col min="14" max="14" width="7.125" style="65" bestFit="1" customWidth="1"/>
    <col min="15" max="15" width="7.125" style="44" bestFit="1" customWidth="1"/>
    <col min="16" max="17" width="1.375" style="44" bestFit="1" customWidth="1"/>
    <col min="18" max="18" width="14.125" style="44" bestFit="1" customWidth="1"/>
    <col min="19" max="19" width="1.375" style="44" bestFit="1" customWidth="1"/>
    <col min="20" max="20" width="13.25" style="44" bestFit="1" customWidth="1"/>
    <col min="21" max="21" width="13" style="44" bestFit="1" customWidth="1"/>
    <col min="22" max="22" width="12.25" style="44" bestFit="1" customWidth="1"/>
    <col min="23" max="23" width="5.5" style="44" bestFit="1" customWidth="1"/>
    <col min="24" max="24" width="1.375" style="44" bestFit="1" customWidth="1"/>
    <col min="25" max="25" width="10.25" style="44" customWidth="1"/>
    <col min="26" max="26" width="12.125" style="44" customWidth="1"/>
    <col min="27" max="16384" width="10.25" style="44"/>
  </cols>
  <sheetData>
    <row r="1" spans="1:33">
      <c r="K1" s="63"/>
      <c r="L1" s="64"/>
      <c r="M1" s="64"/>
      <c r="N1" s="64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</row>
    <row r="2" spans="1:33" ht="18.75">
      <c r="A2" s="311" t="s">
        <v>54</v>
      </c>
      <c r="B2" s="311"/>
      <c r="C2" s="311"/>
      <c r="D2" s="311"/>
      <c r="E2" s="311"/>
      <c r="F2" s="311"/>
      <c r="G2" s="311"/>
      <c r="H2" s="311"/>
      <c r="I2" s="311"/>
      <c r="J2" s="311"/>
      <c r="K2" s="63"/>
      <c r="L2" s="64"/>
      <c r="M2" s="64"/>
      <c r="N2" s="64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1:33">
      <c r="A3" s="330" t="str">
        <f>'Exh. JAP-39 (Prof-Prop)'!$B$6</f>
        <v>12 MONTHS ENDED SEPTEMBER 2016</v>
      </c>
      <c r="B3" s="330"/>
      <c r="C3" s="330"/>
      <c r="D3" s="330"/>
      <c r="E3" s="330"/>
      <c r="F3" s="330"/>
      <c r="G3" s="330"/>
      <c r="H3" s="330"/>
      <c r="I3" s="330"/>
      <c r="J3" s="140"/>
      <c r="K3" s="63"/>
      <c r="L3" s="64"/>
      <c r="M3" s="64"/>
      <c r="N3" s="64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</row>
    <row r="4" spans="1:33">
      <c r="A4" s="304" t="s">
        <v>31</v>
      </c>
      <c r="B4" s="304"/>
      <c r="C4" s="304"/>
      <c r="D4" s="304"/>
      <c r="E4" s="304"/>
      <c r="F4" s="304"/>
      <c r="G4" s="304"/>
      <c r="H4" s="304"/>
      <c r="I4" s="304"/>
      <c r="J4" s="45"/>
      <c r="K4" s="63"/>
      <c r="L4" s="64"/>
      <c r="M4" s="64"/>
      <c r="N4" s="64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</row>
    <row r="5" spans="1:33">
      <c r="A5" s="46" t="s">
        <v>137</v>
      </c>
      <c r="B5" s="141"/>
      <c r="C5" s="141"/>
      <c r="D5" s="142"/>
      <c r="E5" s="142"/>
      <c r="F5" s="141"/>
      <c r="G5" s="142"/>
      <c r="H5" s="141"/>
      <c r="I5" s="141"/>
      <c r="J5" s="141"/>
      <c r="K5" s="63"/>
      <c r="L5" s="64"/>
      <c r="M5" s="64"/>
      <c r="N5" s="64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</row>
    <row r="6" spans="1:33">
      <c r="A6" s="46"/>
      <c r="B6" s="141"/>
      <c r="C6" s="141"/>
      <c r="D6" s="142"/>
      <c r="E6" s="142"/>
      <c r="F6" s="141"/>
      <c r="G6" s="142"/>
      <c r="H6" s="141"/>
      <c r="I6" s="141"/>
      <c r="J6" s="141"/>
      <c r="K6" s="63"/>
      <c r="L6" s="64"/>
      <c r="M6" s="64"/>
      <c r="N6" s="64"/>
      <c r="O6" s="64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</row>
    <row r="7" spans="1:33">
      <c r="A7" s="141"/>
      <c r="B7" s="141"/>
      <c r="C7" s="141"/>
      <c r="D7" s="142"/>
      <c r="E7" s="142"/>
      <c r="F7" s="141"/>
      <c r="G7" s="142"/>
      <c r="H7" s="141"/>
      <c r="I7" s="141"/>
      <c r="J7" s="141"/>
      <c r="K7" s="63"/>
      <c r="L7" s="64"/>
      <c r="M7" s="64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</row>
    <row r="8" spans="1:33">
      <c r="A8" s="48"/>
      <c r="B8" s="48"/>
      <c r="C8" s="47"/>
      <c r="D8" s="48"/>
      <c r="E8" s="48"/>
      <c r="G8" s="48"/>
      <c r="H8" s="49"/>
      <c r="I8" s="49"/>
      <c r="J8" s="49"/>
      <c r="K8" s="63"/>
      <c r="L8" s="64"/>
      <c r="M8" s="64"/>
      <c r="N8" s="64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</row>
    <row r="9" spans="1:33">
      <c r="A9" s="48"/>
      <c r="B9" s="48"/>
      <c r="C9" s="47" t="s">
        <v>32</v>
      </c>
      <c r="D9" s="305" t="s">
        <v>3</v>
      </c>
      <c r="E9" s="306"/>
      <c r="F9" s="307"/>
      <c r="G9" s="308" t="str">
        <f>'Exh. JAP-39 (Res RD)'!$G$9</f>
        <v>Proposed Effective December 2017</v>
      </c>
      <c r="H9" s="306"/>
      <c r="I9" s="307"/>
      <c r="J9" s="49"/>
      <c r="K9" s="63"/>
      <c r="L9" s="64"/>
      <c r="M9" s="64"/>
      <c r="N9" s="64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</row>
    <row r="10" spans="1:33">
      <c r="A10" s="48"/>
      <c r="B10" s="48"/>
      <c r="C10" s="51" t="s">
        <v>33</v>
      </c>
      <c r="D10" s="52" t="s">
        <v>34</v>
      </c>
      <c r="E10" s="53"/>
      <c r="F10" s="49" t="s">
        <v>35</v>
      </c>
      <c r="G10" s="52" t="s">
        <v>34</v>
      </c>
      <c r="H10" s="52"/>
      <c r="I10" s="52" t="s">
        <v>35</v>
      </c>
      <c r="J10" s="52"/>
      <c r="K10" s="63"/>
      <c r="L10" s="64"/>
      <c r="M10" s="64"/>
      <c r="N10" s="64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</row>
    <row r="11" spans="1:33">
      <c r="C11" s="55"/>
      <c r="D11" s="54" t="s">
        <v>0</v>
      </c>
      <c r="E11" s="55"/>
      <c r="F11" s="57"/>
      <c r="G11" s="54" t="s">
        <v>0</v>
      </c>
      <c r="H11" s="55"/>
      <c r="I11" s="57" t="s">
        <v>0</v>
      </c>
      <c r="J11" s="57"/>
      <c r="K11" s="63"/>
      <c r="L11" s="64"/>
      <c r="M11" s="64"/>
      <c r="N11" s="64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G11" s="66"/>
    </row>
    <row r="12" spans="1:33">
      <c r="A12" s="67" t="s">
        <v>136</v>
      </c>
      <c r="B12" s="54"/>
      <c r="C12" s="55"/>
      <c r="D12" s="57"/>
      <c r="E12" s="54"/>
      <c r="F12" s="54"/>
      <c r="G12" s="57"/>
      <c r="H12" s="54"/>
      <c r="I12" s="57" t="s">
        <v>0</v>
      </c>
      <c r="J12" s="57"/>
      <c r="L12" s="44"/>
      <c r="M12" s="44"/>
      <c r="N12" s="64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</row>
    <row r="13" spans="1:33">
      <c r="A13" s="67" t="s">
        <v>138</v>
      </c>
      <c r="B13" s="54"/>
      <c r="C13" s="54" t="s">
        <v>0</v>
      </c>
      <c r="D13" s="57"/>
      <c r="E13" s="54"/>
      <c r="F13" s="54"/>
      <c r="G13" s="57"/>
      <c r="H13" s="54"/>
      <c r="I13" s="54"/>
      <c r="J13" s="54"/>
      <c r="L13" s="44"/>
      <c r="M13" s="44"/>
      <c r="N13" s="64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</row>
    <row r="14" spans="1:33">
      <c r="A14" s="54"/>
      <c r="B14" s="54"/>
      <c r="C14" s="54"/>
      <c r="D14" s="57"/>
      <c r="E14" s="54"/>
      <c r="F14" s="54"/>
      <c r="G14" s="57"/>
      <c r="H14" s="54"/>
      <c r="I14" s="54"/>
      <c r="J14" s="54"/>
      <c r="K14" s="63"/>
      <c r="L14" s="64"/>
      <c r="M14" s="64"/>
      <c r="N14" s="64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</row>
    <row r="15" spans="1:33">
      <c r="A15" s="54" t="s">
        <v>43</v>
      </c>
      <c r="B15" s="54"/>
      <c r="C15" s="55">
        <v>5842</v>
      </c>
      <c r="D15" s="68">
        <f>'Exh. JAP-39 (Tariff)'!E70</f>
        <v>339.51</v>
      </c>
      <c r="E15" s="54"/>
      <c r="F15" s="57">
        <f>ROUND(D15*$C15,0)</f>
        <v>1983417</v>
      </c>
      <c r="G15" s="68">
        <f>ROUND(D15*(1+$M$31),2)</f>
        <v>360.3</v>
      </c>
      <c r="H15" s="54"/>
      <c r="I15" s="57">
        <f>ROUND(G15*$C15,0)</f>
        <v>2104873</v>
      </c>
      <c r="J15" s="57"/>
      <c r="K15" s="310" t="s">
        <v>100</v>
      </c>
      <c r="L15" s="310"/>
      <c r="M15" s="310"/>
      <c r="N15" s="64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</row>
    <row r="16" spans="1:33">
      <c r="A16" s="54" t="s">
        <v>46</v>
      </c>
      <c r="B16" s="54"/>
      <c r="C16" s="55"/>
      <c r="D16" s="56"/>
      <c r="E16" s="57"/>
      <c r="F16" s="57"/>
      <c r="G16" s="56"/>
      <c r="H16" s="57"/>
      <c r="I16" s="57"/>
      <c r="J16" s="57"/>
      <c r="K16" s="63"/>
      <c r="L16" s="64"/>
      <c r="M16" s="64"/>
      <c r="N16" s="64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</row>
    <row r="17" spans="1:26">
      <c r="A17" s="74" t="s">
        <v>52</v>
      </c>
      <c r="B17" s="54"/>
      <c r="C17" s="55">
        <v>1278724485</v>
      </c>
      <c r="D17" s="73">
        <f>'Exh. JAP-39 (Tariff)'!E72</f>
        <v>5.4346999999999999E-2</v>
      </c>
      <c r="E17" s="57"/>
      <c r="F17" s="57">
        <f t="shared" ref="F17" si="0">ROUND($C17*D17,0)</f>
        <v>69494840</v>
      </c>
      <c r="G17" s="73">
        <f>ROUND(D17*(1+$M$31),6)+0.00001</f>
        <v>5.7684000000000006E-2</v>
      </c>
      <c r="H17" s="57"/>
      <c r="I17" s="57">
        <f t="shared" ref="I17" si="1">ROUND($C17*G17,0)</f>
        <v>73761943</v>
      </c>
      <c r="J17" s="57"/>
      <c r="K17" s="310" t="s">
        <v>142</v>
      </c>
      <c r="L17" s="310"/>
      <c r="M17" s="310"/>
      <c r="N17" s="64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</row>
    <row r="18" spans="1:26">
      <c r="A18" s="80" t="s">
        <v>36</v>
      </c>
      <c r="B18" s="54"/>
      <c r="C18" s="100">
        <f>SUM(C17:C17)</f>
        <v>1278724485</v>
      </c>
      <c r="D18" s="101"/>
      <c r="E18" s="54"/>
      <c r="F18" s="99">
        <f>SUM(F17:F17)</f>
        <v>69494840</v>
      </c>
      <c r="G18" s="101"/>
      <c r="H18" s="54"/>
      <c r="I18" s="99">
        <f>SUM(I17:I17)</f>
        <v>73761943</v>
      </c>
      <c r="J18" s="57"/>
      <c r="K18" s="63"/>
      <c r="L18" s="64"/>
      <c r="M18" s="64"/>
      <c r="N18" s="64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</row>
    <row r="19" spans="1:26">
      <c r="A19" s="74" t="s">
        <v>83</v>
      </c>
      <c r="B19" s="54"/>
      <c r="C19" s="55">
        <v>957232.70373482059</v>
      </c>
      <c r="D19" s="73">
        <f>D17</f>
        <v>5.4346999999999999E-2</v>
      </c>
      <c r="E19" s="54"/>
      <c r="F19" s="57">
        <f t="shared" ref="F19:F20" si="2">ROUND($C19*D19,0)</f>
        <v>52023</v>
      </c>
      <c r="G19" s="73">
        <f>G17</f>
        <v>5.7684000000000006E-2</v>
      </c>
      <c r="H19" s="54"/>
      <c r="I19" s="57">
        <f t="shared" ref="I19:I20" si="3">ROUND($C19*G19,0)</f>
        <v>55217</v>
      </c>
      <c r="J19" s="57"/>
      <c r="K19" s="149"/>
      <c r="L19" s="64"/>
      <c r="M19" s="64"/>
      <c r="N19" s="64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</row>
    <row r="20" spans="1:26">
      <c r="A20" s="76" t="s">
        <v>88</v>
      </c>
      <c r="B20" s="54"/>
      <c r="C20" s="81">
        <v>-15147343.245038178</v>
      </c>
      <c r="D20" s="73">
        <f>ROUND(SUM(F15,F18:F19,F25,F27)/SUM(C18:C19),6)</f>
        <v>8.0183000000000004E-2</v>
      </c>
      <c r="E20" s="54"/>
      <c r="F20" s="57">
        <f t="shared" si="2"/>
        <v>-1214559</v>
      </c>
      <c r="G20" s="73">
        <f>ROUND(D20*(1+$M$31),6)</f>
        <v>8.5092000000000001E-2</v>
      </c>
      <c r="H20" s="54"/>
      <c r="I20" s="57">
        <f t="shared" si="3"/>
        <v>-1288918</v>
      </c>
      <c r="J20" s="69"/>
      <c r="K20" s="310" t="s">
        <v>100</v>
      </c>
      <c r="L20" s="310"/>
      <c r="M20" s="310"/>
    </row>
    <row r="21" spans="1:26">
      <c r="A21" s="80" t="s">
        <v>36</v>
      </c>
      <c r="B21" s="54"/>
      <c r="C21" s="100">
        <f>SUM(C18:C20)</f>
        <v>1264534374.4586966</v>
      </c>
      <c r="D21" s="54"/>
      <c r="E21" s="54"/>
      <c r="F21" s="99">
        <f>SUM(F18:F20)</f>
        <v>68332304</v>
      </c>
      <c r="G21" s="54"/>
      <c r="H21" s="54"/>
      <c r="I21" s="99">
        <f>SUM(I18:I20)</f>
        <v>72528242</v>
      </c>
      <c r="J21" s="69"/>
      <c r="K21" s="149"/>
      <c r="L21" s="64"/>
      <c r="M21" s="64"/>
    </row>
    <row r="22" spans="1:26">
      <c r="A22" s="54" t="s">
        <v>45</v>
      </c>
      <c r="B22" s="54"/>
      <c r="C22" s="55"/>
      <c r="D22" s="93"/>
      <c r="E22" s="54"/>
      <c r="F22" s="57"/>
      <c r="G22" s="93"/>
      <c r="H22" s="54"/>
      <c r="I22" s="57"/>
      <c r="J22" s="57"/>
      <c r="K22" s="149"/>
      <c r="L22" s="151"/>
      <c r="M22" s="64"/>
    </row>
    <row r="23" spans="1:26">
      <c r="A23" s="74" t="s">
        <v>115</v>
      </c>
      <c r="B23" s="54"/>
      <c r="C23" s="55">
        <v>1575884.6</v>
      </c>
      <c r="D23" s="68">
        <f>'Exh. JAP-39 (Tariff)'!E74</f>
        <v>11.32</v>
      </c>
      <c r="E23" s="54"/>
      <c r="F23" s="57">
        <f>ROUND(D23*$C23,0)</f>
        <v>17839014</v>
      </c>
      <c r="G23" s="68">
        <f>ROUND(D23*(1+$M$31),2)</f>
        <v>12.01</v>
      </c>
      <c r="H23" s="54"/>
      <c r="I23" s="57">
        <f>ROUND(G23*$C23,0)</f>
        <v>18926374</v>
      </c>
      <c r="J23" s="57"/>
      <c r="K23" s="310" t="s">
        <v>100</v>
      </c>
      <c r="L23" s="310"/>
      <c r="M23" s="310"/>
      <c r="N23" s="44"/>
    </row>
    <row r="24" spans="1:26">
      <c r="A24" s="74" t="s">
        <v>116</v>
      </c>
      <c r="B24" s="54"/>
      <c r="C24" s="55">
        <v>1658583.8</v>
      </c>
      <c r="D24" s="68">
        <f>'Exh. JAP-39 (Tariff)'!E75</f>
        <v>7.55</v>
      </c>
      <c r="E24" s="54"/>
      <c r="F24" s="57">
        <f>ROUND(D24*$C24,0)</f>
        <v>12522308</v>
      </c>
      <c r="G24" s="68">
        <f>ROUND(D24*(1+$M$31),2)</f>
        <v>8.01</v>
      </c>
      <c r="H24" s="54"/>
      <c r="I24" s="57">
        <f>ROUND(G24*$C24,0)</f>
        <v>13285256</v>
      </c>
      <c r="J24" s="57"/>
      <c r="K24" s="310" t="s">
        <v>100</v>
      </c>
      <c r="L24" s="310"/>
      <c r="M24" s="310"/>
      <c r="N24" s="44"/>
    </row>
    <row r="25" spans="1:26">
      <c r="A25" s="80" t="s">
        <v>36</v>
      </c>
      <c r="B25" s="54"/>
      <c r="C25" s="100">
        <f>SUM(C23:C24)</f>
        <v>3234468.4000000004</v>
      </c>
      <c r="D25" s="93"/>
      <c r="E25" s="54"/>
      <c r="F25" s="99">
        <f>SUM(F23:F24)</f>
        <v>30361322</v>
      </c>
      <c r="G25" s="93"/>
      <c r="H25" s="54"/>
      <c r="I25" s="99">
        <f>SUM(I23:I24)</f>
        <v>32211630</v>
      </c>
      <c r="J25" s="57"/>
      <c r="K25" s="149"/>
      <c r="L25" s="64"/>
      <c r="M25" s="64"/>
    </row>
    <row r="26" spans="1:26">
      <c r="A26" s="54"/>
      <c r="B26" s="54"/>
      <c r="C26" s="81"/>
      <c r="D26" s="81"/>
      <c r="E26" s="54"/>
      <c r="F26" s="69"/>
      <c r="G26" s="81"/>
      <c r="H26" s="54"/>
      <c r="I26" s="69"/>
      <c r="J26" s="69"/>
      <c r="K26" s="149"/>
      <c r="L26" s="64"/>
      <c r="M26" s="64"/>
    </row>
    <row r="27" spans="1:26">
      <c r="A27" s="54" t="s">
        <v>110</v>
      </c>
      <c r="B27" s="54"/>
      <c r="C27" s="55">
        <v>677015089</v>
      </c>
      <c r="D27" s="97">
        <f>'Exh. JAP-39 (Tariff)'!E77</f>
        <v>1.06E-3</v>
      </c>
      <c r="E27" s="54"/>
      <c r="F27" s="57">
        <f>ROUND(D27*$C27,0)</f>
        <v>717636</v>
      </c>
      <c r="G27" s="97">
        <f>ROUND(D27*(1+$M$31),5)</f>
        <v>1.1199999999999999E-3</v>
      </c>
      <c r="H27" s="54"/>
      <c r="I27" s="57">
        <f>ROUND(G27*$C27,0)</f>
        <v>758257</v>
      </c>
      <c r="J27" s="69"/>
      <c r="K27" s="310" t="s">
        <v>100</v>
      </c>
      <c r="L27" s="310"/>
      <c r="M27" s="310"/>
    </row>
    <row r="28" spans="1:26">
      <c r="A28" s="54"/>
      <c r="B28" s="54"/>
      <c r="C28" s="81"/>
      <c r="D28" s="81"/>
      <c r="E28" s="54"/>
      <c r="F28" s="69"/>
      <c r="G28" s="81"/>
      <c r="H28" s="54"/>
      <c r="I28" s="69"/>
      <c r="J28" s="69"/>
      <c r="K28" s="150"/>
      <c r="L28" s="151"/>
      <c r="M28" s="64"/>
    </row>
    <row r="29" spans="1:26" ht="16.5" thickBot="1">
      <c r="A29" s="54" t="s">
        <v>40</v>
      </c>
      <c r="B29" s="54"/>
      <c r="C29" s="81"/>
      <c r="D29" s="81"/>
      <c r="E29" s="54"/>
      <c r="F29" s="89">
        <f>SUM(F15,F21,F25,F27)</f>
        <v>101394679</v>
      </c>
      <c r="G29" s="81"/>
      <c r="H29" s="54"/>
      <c r="I29" s="89">
        <f>SUM(I15,I21,I25,I27)</f>
        <v>107603002</v>
      </c>
      <c r="J29" s="69"/>
      <c r="K29" s="150"/>
      <c r="L29" s="151"/>
      <c r="M29" s="64"/>
    </row>
    <row r="30" spans="1:26" ht="16.5" thickTop="1">
      <c r="A30" s="54"/>
      <c r="B30" s="98"/>
      <c r="C30" s="81"/>
      <c r="D30" s="81"/>
      <c r="E30" s="54"/>
      <c r="F30" s="57"/>
      <c r="G30" s="81"/>
      <c r="H30" s="54"/>
      <c r="I30" s="57"/>
      <c r="J30" s="57"/>
      <c r="K30" s="150"/>
      <c r="L30" s="151"/>
      <c r="M30" s="64"/>
    </row>
    <row r="31" spans="1:26">
      <c r="K31" s="137" t="s">
        <v>140</v>
      </c>
      <c r="L31" s="91">
        <f>'Exh. JAP-39 (Rate Spread)'!K17*1000</f>
        <v>107866093.78547637</v>
      </c>
      <c r="M31" s="92">
        <f>L31/SUM(F51,F29)-1</f>
        <v>6.1226117641596911E-2</v>
      </c>
    </row>
    <row r="32" spans="1:26">
      <c r="B32" s="54"/>
      <c r="C32" s="55"/>
      <c r="D32" s="57"/>
      <c r="E32" s="54"/>
      <c r="F32" s="54"/>
      <c r="G32" s="57"/>
      <c r="H32" s="54"/>
      <c r="I32" s="57" t="s">
        <v>0</v>
      </c>
      <c r="J32" s="57"/>
      <c r="K32" s="94" t="s">
        <v>39</v>
      </c>
      <c r="L32" s="95">
        <f>L31-I29-I51</f>
        <v>-302.21452362835407</v>
      </c>
      <c r="M32" s="96" t="s">
        <v>0</v>
      </c>
    </row>
    <row r="34" spans="1:13">
      <c r="A34" s="67" t="s">
        <v>139</v>
      </c>
      <c r="B34" s="54"/>
      <c r="C34" s="55"/>
      <c r="D34" s="57"/>
      <c r="E34" s="54"/>
      <c r="F34" s="54"/>
      <c r="G34" s="57"/>
      <c r="H34" s="54"/>
      <c r="I34" s="57" t="s">
        <v>0</v>
      </c>
      <c r="J34" s="57"/>
      <c r="L34" s="44"/>
      <c r="M34" s="44"/>
    </row>
    <row r="35" spans="1:13">
      <c r="A35" s="67" t="s">
        <v>138</v>
      </c>
      <c r="B35" s="54"/>
      <c r="C35" s="54" t="s">
        <v>0</v>
      </c>
      <c r="D35" s="57"/>
      <c r="E35" s="54"/>
      <c r="F35" s="54"/>
      <c r="G35" s="57"/>
      <c r="H35" s="54"/>
      <c r="I35" s="54"/>
      <c r="J35" s="54"/>
      <c r="L35" s="44"/>
      <c r="M35" s="44"/>
    </row>
    <row r="36" spans="1:13">
      <c r="A36" s="54"/>
      <c r="B36" s="54"/>
      <c r="C36" s="54"/>
      <c r="D36" s="57"/>
      <c r="E36" s="54"/>
      <c r="F36" s="54"/>
      <c r="G36" s="57"/>
      <c r="H36" s="54"/>
      <c r="I36" s="54"/>
      <c r="J36" s="54"/>
      <c r="K36" s="63"/>
      <c r="L36" s="64"/>
      <c r="M36" s="64"/>
    </row>
    <row r="37" spans="1:13">
      <c r="A37" s="54" t="s">
        <v>43</v>
      </c>
      <c r="B37" s="54"/>
      <c r="C37" s="55">
        <v>12</v>
      </c>
      <c r="D37" s="68">
        <f>'Exh. JAP-39 (Tariff)'!E80</f>
        <v>339.51</v>
      </c>
      <c r="E37" s="54"/>
      <c r="F37" s="57">
        <f>ROUND(D37*$C37,0)</f>
        <v>4074</v>
      </c>
      <c r="G37" s="68">
        <f>G15</f>
        <v>360.3</v>
      </c>
      <c r="H37" s="54"/>
      <c r="I37" s="57">
        <f>ROUND(G37*$C37,0)</f>
        <v>4324</v>
      </c>
      <c r="J37" s="57"/>
      <c r="K37" s="310" t="s">
        <v>141</v>
      </c>
      <c r="L37" s="310"/>
      <c r="M37" s="310"/>
    </row>
    <row r="38" spans="1:13">
      <c r="A38" s="54" t="s">
        <v>46</v>
      </c>
      <c r="B38" s="54"/>
      <c r="C38" s="55"/>
      <c r="D38" s="56"/>
      <c r="E38" s="57"/>
      <c r="F38" s="57"/>
      <c r="G38" s="56"/>
      <c r="H38" s="57"/>
      <c r="I38" s="57"/>
      <c r="J38" s="57"/>
      <c r="K38" s="63"/>
      <c r="L38" s="64"/>
      <c r="M38" s="64"/>
    </row>
    <row r="39" spans="1:13">
      <c r="A39" s="74" t="s">
        <v>52</v>
      </c>
      <c r="B39" s="54"/>
      <c r="C39" s="55">
        <v>4443000</v>
      </c>
      <c r="D39" s="73">
        <f>'Exh. JAP-39 (Tariff)'!E82</f>
        <v>4.8598000000000002E-2</v>
      </c>
      <c r="E39" s="57"/>
      <c r="F39" s="57">
        <f t="shared" ref="F39" si="4">ROUND($C39*D39,0)</f>
        <v>215921</v>
      </c>
      <c r="G39" s="73">
        <f>ROUND(D39*(1+$M$31),6)</f>
        <v>5.1573000000000001E-2</v>
      </c>
      <c r="H39" s="57"/>
      <c r="I39" s="57">
        <f t="shared" ref="I39" si="5">ROUND($C39*G39,0)</f>
        <v>229139</v>
      </c>
      <c r="J39" s="57"/>
      <c r="K39" s="310" t="s">
        <v>100</v>
      </c>
      <c r="L39" s="310"/>
      <c r="M39" s="310"/>
    </row>
    <row r="40" spans="1:13">
      <c r="A40" s="80" t="s">
        <v>36</v>
      </c>
      <c r="B40" s="54"/>
      <c r="C40" s="100">
        <f>SUM(C39:C39)</f>
        <v>4443000</v>
      </c>
      <c r="D40" s="101"/>
      <c r="E40" s="54"/>
      <c r="F40" s="99">
        <f>SUM(F39:F39)</f>
        <v>215921</v>
      </c>
      <c r="G40" s="101"/>
      <c r="H40" s="54"/>
      <c r="I40" s="99">
        <f>SUM(I39:I39)</f>
        <v>229139</v>
      </c>
      <c r="J40" s="57"/>
      <c r="K40" s="63"/>
      <c r="L40" s="64"/>
      <c r="M40" s="64"/>
    </row>
    <row r="41" spans="1:13">
      <c r="A41" s="74" t="s">
        <v>83</v>
      </c>
      <c r="B41" s="54"/>
      <c r="C41" s="55">
        <v>0</v>
      </c>
      <c r="D41" s="73">
        <f>D39</f>
        <v>4.8598000000000002E-2</v>
      </c>
      <c r="E41" s="54"/>
      <c r="F41" s="57">
        <f t="shared" ref="F41:F42" si="6">ROUND($C41*D41,0)</f>
        <v>0</v>
      </c>
      <c r="G41" s="73">
        <f>G39</f>
        <v>5.1573000000000001E-2</v>
      </c>
      <c r="H41" s="54"/>
      <c r="I41" s="57">
        <f t="shared" ref="I41:I42" si="7">ROUND($C41*G41,0)</f>
        <v>0</v>
      </c>
      <c r="J41" s="57"/>
      <c r="K41" s="149"/>
      <c r="L41" s="64"/>
      <c r="M41" s="64"/>
    </row>
    <row r="42" spans="1:13">
      <c r="A42" s="76" t="s">
        <v>88</v>
      </c>
      <c r="B42" s="54"/>
      <c r="C42" s="81">
        <v>9600</v>
      </c>
      <c r="D42" s="73">
        <f>ROUND(SUM(F37,F40,F47,F49)/C40,6)</f>
        <v>5.5745999999999997E-2</v>
      </c>
      <c r="E42" s="54"/>
      <c r="F42" s="57">
        <f t="shared" si="6"/>
        <v>535</v>
      </c>
      <c r="G42" s="73">
        <f>ROUND(D42*(1+$M$31),6)</f>
        <v>5.9159000000000003E-2</v>
      </c>
      <c r="H42" s="54"/>
      <c r="I42" s="57">
        <f t="shared" si="7"/>
        <v>568</v>
      </c>
      <c r="J42" s="69"/>
      <c r="K42" s="310" t="s">
        <v>100</v>
      </c>
      <c r="L42" s="310"/>
      <c r="M42" s="310"/>
    </row>
    <row r="43" spans="1:13">
      <c r="A43" s="80" t="s">
        <v>36</v>
      </c>
      <c r="B43" s="54"/>
      <c r="C43" s="100">
        <f>SUM(C40:C42)</f>
        <v>4452600</v>
      </c>
      <c r="D43" s="54"/>
      <c r="E43" s="54"/>
      <c r="F43" s="99">
        <f>SUM(F40:F42)</f>
        <v>216456</v>
      </c>
      <c r="G43" s="54"/>
      <c r="H43" s="54"/>
      <c r="I43" s="99">
        <f>SUM(I40:I42)</f>
        <v>229707</v>
      </c>
      <c r="J43" s="69"/>
      <c r="K43" s="149"/>
      <c r="L43" s="64"/>
      <c r="M43" s="64"/>
    </row>
    <row r="44" spans="1:13">
      <c r="A44" s="54" t="s">
        <v>45</v>
      </c>
      <c r="B44" s="54"/>
      <c r="C44" s="55"/>
      <c r="D44" s="93"/>
      <c r="E44" s="54"/>
      <c r="F44" s="57"/>
      <c r="G44" s="93"/>
      <c r="H44" s="54"/>
      <c r="I44" s="57"/>
      <c r="J44" s="57"/>
      <c r="K44" s="149"/>
      <c r="L44" s="151"/>
      <c r="M44" s="64"/>
    </row>
    <row r="45" spans="1:13">
      <c r="A45" s="74" t="s">
        <v>115</v>
      </c>
      <c r="B45" s="54"/>
      <c r="C45" s="55">
        <v>204</v>
      </c>
      <c r="D45" s="68">
        <f>'Exh. JAP-39 (Tariff)'!E84</f>
        <v>4.49</v>
      </c>
      <c r="E45" s="54"/>
      <c r="F45" s="57">
        <f>ROUND(D45*$C45,0)</f>
        <v>916</v>
      </c>
      <c r="G45" s="68">
        <f>ROUND(D45*(1+$M$31),2)</f>
        <v>4.76</v>
      </c>
      <c r="H45" s="54"/>
      <c r="I45" s="57">
        <f>ROUND(G45*$C45,0)</f>
        <v>971</v>
      </c>
      <c r="J45" s="57"/>
      <c r="K45" s="310" t="s">
        <v>100</v>
      </c>
      <c r="L45" s="310"/>
      <c r="M45" s="310"/>
    </row>
    <row r="46" spans="1:13">
      <c r="A46" s="74" t="s">
        <v>116</v>
      </c>
      <c r="B46" s="54"/>
      <c r="C46" s="55">
        <v>8102</v>
      </c>
      <c r="D46" s="68">
        <f>'Exh. JAP-39 (Tariff)'!E85</f>
        <v>2.99</v>
      </c>
      <c r="E46" s="54"/>
      <c r="F46" s="57">
        <f>ROUND(D46*$C46,0)</f>
        <v>24225</v>
      </c>
      <c r="G46" s="68">
        <f>ROUND(D46*(1+$M$31),2)</f>
        <v>3.17</v>
      </c>
      <c r="H46" s="54"/>
      <c r="I46" s="57">
        <f>ROUND(G46*$C46,0)</f>
        <v>25683</v>
      </c>
      <c r="J46" s="57"/>
      <c r="K46" s="310" t="s">
        <v>100</v>
      </c>
      <c r="L46" s="310"/>
      <c r="M46" s="310"/>
    </row>
    <row r="47" spans="1:13">
      <c r="A47" s="80" t="s">
        <v>36</v>
      </c>
      <c r="B47" s="54"/>
      <c r="C47" s="100">
        <f>SUM(C45:C46)</f>
        <v>8306</v>
      </c>
      <c r="D47" s="93"/>
      <c r="E47" s="54"/>
      <c r="F47" s="99">
        <f>SUM(F45:F46)</f>
        <v>25141</v>
      </c>
      <c r="G47" s="93"/>
      <c r="H47" s="54"/>
      <c r="I47" s="99">
        <f>SUM(I45:I46)</f>
        <v>26654</v>
      </c>
      <c r="J47" s="57"/>
      <c r="K47" s="149"/>
      <c r="L47" s="64"/>
      <c r="M47" s="64"/>
    </row>
    <row r="48" spans="1:13">
      <c r="A48" s="54"/>
      <c r="B48" s="54"/>
      <c r="C48" s="81"/>
      <c r="D48" s="81"/>
      <c r="E48" s="54"/>
      <c r="F48" s="69"/>
      <c r="G48" s="81"/>
      <c r="H48" s="54"/>
      <c r="I48" s="69"/>
      <c r="J48" s="69"/>
      <c r="K48" s="149"/>
      <c r="L48" s="64"/>
      <c r="M48" s="64"/>
    </row>
    <row r="49" spans="1:13">
      <c r="A49" s="54" t="s">
        <v>110</v>
      </c>
      <c r="B49" s="54"/>
      <c r="C49" s="55">
        <v>2355612</v>
      </c>
      <c r="D49" s="97">
        <f>'Exh. JAP-39 (Tariff)'!E87</f>
        <v>1.08E-3</v>
      </c>
      <c r="E49" s="54"/>
      <c r="F49" s="57">
        <f>ROUND(D49*$C49,0)</f>
        <v>2544</v>
      </c>
      <c r="G49" s="97">
        <f>ROUND(D49*(1+$M$31),5)</f>
        <v>1.15E-3</v>
      </c>
      <c r="H49" s="54"/>
      <c r="I49" s="57">
        <f>ROUND(G49*$C49,0)</f>
        <v>2709</v>
      </c>
      <c r="J49" s="69"/>
      <c r="K49" s="310" t="s">
        <v>100</v>
      </c>
      <c r="L49" s="310"/>
      <c r="M49" s="310"/>
    </row>
    <row r="50" spans="1:13">
      <c r="A50" s="54"/>
      <c r="B50" s="54"/>
      <c r="C50" s="81"/>
      <c r="D50" s="81"/>
      <c r="E50" s="54"/>
      <c r="F50" s="69"/>
      <c r="G50" s="81"/>
      <c r="H50" s="54"/>
      <c r="I50" s="69"/>
      <c r="J50" s="69"/>
      <c r="K50" s="150"/>
      <c r="L50" s="151"/>
      <c r="M50" s="64"/>
    </row>
    <row r="51" spans="1:13" ht="16.5" thickBot="1">
      <c r="A51" s="54" t="s">
        <v>40</v>
      </c>
      <c r="B51" s="54"/>
      <c r="C51" s="81"/>
      <c r="D51" s="81"/>
      <c r="E51" s="54"/>
      <c r="F51" s="89">
        <f>SUM(F37,F43,F47,F49)</f>
        <v>248215</v>
      </c>
      <c r="G51" s="81"/>
      <c r="H51" s="54"/>
      <c r="I51" s="89">
        <f>SUM(I37,I43,I47,I49)</f>
        <v>263394</v>
      </c>
      <c r="J51" s="69"/>
      <c r="K51" s="149"/>
      <c r="L51" s="151"/>
      <c r="M51" s="64"/>
    </row>
    <row r="52" spans="1:13" ht="16.5" thickTop="1">
      <c r="A52" s="54"/>
      <c r="B52" s="98"/>
      <c r="C52" s="81"/>
      <c r="D52" s="81"/>
      <c r="E52" s="54"/>
      <c r="F52" s="57"/>
      <c r="G52" s="81"/>
      <c r="H52" s="54"/>
      <c r="I52" s="57"/>
      <c r="J52" s="57"/>
      <c r="K52" s="149"/>
      <c r="L52" s="151"/>
      <c r="M52" s="64"/>
    </row>
    <row r="53" spans="1:13">
      <c r="A53" s="67" t="s">
        <v>145</v>
      </c>
      <c r="B53" s="54"/>
      <c r="C53" s="55"/>
      <c r="D53" s="57"/>
      <c r="E53" s="54"/>
      <c r="F53" s="54"/>
      <c r="G53" s="57"/>
      <c r="H53" s="54"/>
      <c r="I53" s="57" t="s">
        <v>0</v>
      </c>
      <c r="J53" s="57"/>
      <c r="L53" s="44"/>
      <c r="M53" s="44"/>
    </row>
    <row r="54" spans="1:13">
      <c r="A54" s="67" t="s">
        <v>146</v>
      </c>
      <c r="B54" s="54"/>
      <c r="C54" s="54" t="s">
        <v>0</v>
      </c>
      <c r="D54" s="57"/>
      <c r="E54" s="54"/>
      <c r="F54" s="54"/>
      <c r="G54" s="57"/>
      <c r="H54" s="54"/>
      <c r="I54" s="54"/>
      <c r="J54" s="54"/>
      <c r="L54" s="44"/>
      <c r="M54" s="44"/>
    </row>
    <row r="55" spans="1:13">
      <c r="A55" s="54"/>
      <c r="B55" s="54"/>
      <c r="C55" s="54"/>
      <c r="D55" s="57"/>
      <c r="E55" s="54"/>
      <c r="F55" s="54"/>
      <c r="G55" s="57"/>
      <c r="H55" s="54"/>
      <c r="I55" s="54"/>
      <c r="J55" s="54"/>
      <c r="K55" s="63"/>
      <c r="L55" s="64"/>
      <c r="M55" s="64"/>
    </row>
    <row r="56" spans="1:13">
      <c r="A56" s="54" t="s">
        <v>43</v>
      </c>
      <c r="B56" s="54"/>
      <c r="C56" s="55">
        <v>1904</v>
      </c>
      <c r="D56" s="68">
        <f>'Exh. JAP-39 (Tariff)'!E90</f>
        <v>339.51</v>
      </c>
      <c r="E56" s="54"/>
      <c r="F56" s="57">
        <f>ROUND(D56*$C56,0)</f>
        <v>646427</v>
      </c>
      <c r="G56" s="68">
        <f>G15</f>
        <v>360.3</v>
      </c>
      <c r="H56" s="54"/>
      <c r="I56" s="57">
        <f>ROUND(G56*$C56,0)</f>
        <v>686011</v>
      </c>
      <c r="J56" s="57"/>
      <c r="K56" s="310" t="s">
        <v>141</v>
      </c>
      <c r="L56" s="310"/>
      <c r="M56" s="310"/>
    </row>
    <row r="57" spans="1:13">
      <c r="A57" s="54" t="s">
        <v>46</v>
      </c>
      <c r="B57" s="54"/>
      <c r="C57" s="55"/>
      <c r="D57" s="56"/>
      <c r="E57" s="57"/>
      <c r="F57" s="57"/>
      <c r="G57" s="56"/>
      <c r="H57" s="57"/>
      <c r="I57" s="57"/>
      <c r="J57" s="57"/>
      <c r="K57" s="63"/>
      <c r="L57" s="64"/>
      <c r="M57" s="64"/>
    </row>
    <row r="58" spans="1:13">
      <c r="A58" s="74" t="s">
        <v>52</v>
      </c>
      <c r="B58" s="54"/>
      <c r="C58" s="55">
        <v>116386804</v>
      </c>
      <c r="D58" s="73">
        <f>'Exh. JAP-39 (Tariff)'!E92</f>
        <v>5.5893999999999999E-2</v>
      </c>
      <c r="E58" s="57"/>
      <c r="F58" s="57">
        <f t="shared" ref="F58" si="8">ROUND($C58*D58,0)</f>
        <v>6505324</v>
      </c>
      <c r="G58" s="73">
        <f>ROUND((L73-I56-I61-I64-I69)/SUM(C59:C60),6)</f>
        <v>6.1085E-2</v>
      </c>
      <c r="H58" s="57"/>
      <c r="I58" s="57">
        <f t="shared" ref="I58" si="9">ROUND($C58*G58,0)</f>
        <v>7109488</v>
      </c>
      <c r="J58" s="57"/>
      <c r="K58" s="310" t="s">
        <v>148</v>
      </c>
      <c r="L58" s="310"/>
      <c r="M58" s="310"/>
    </row>
    <row r="59" spans="1:13">
      <c r="A59" s="80" t="s">
        <v>36</v>
      </c>
      <c r="B59" s="54"/>
      <c r="C59" s="100">
        <f>SUM(C58:C58)</f>
        <v>116386804</v>
      </c>
      <c r="D59" s="101"/>
      <c r="E59" s="54"/>
      <c r="F59" s="99">
        <f>SUM(F58:F58)</f>
        <v>6505324</v>
      </c>
      <c r="G59" s="101"/>
      <c r="H59" s="54"/>
      <c r="I59" s="99">
        <f>SUM(I58:I58)</f>
        <v>7109488</v>
      </c>
      <c r="J59" s="57"/>
      <c r="K59" s="224"/>
      <c r="L59" s="64"/>
      <c r="M59" s="64"/>
    </row>
    <row r="60" spans="1:13">
      <c r="A60" s="74" t="s">
        <v>83</v>
      </c>
      <c r="B60" s="54"/>
      <c r="C60" s="55">
        <v>3836119.7974334164</v>
      </c>
      <c r="D60" s="73">
        <f>D58</f>
        <v>5.5893999999999999E-2</v>
      </c>
      <c r="E60" s="54"/>
      <c r="F60" s="57">
        <f t="shared" ref="F60:F61" si="10">ROUND($C60*D60,0)</f>
        <v>214416</v>
      </c>
      <c r="G60" s="73">
        <f>G58</f>
        <v>6.1085E-2</v>
      </c>
      <c r="H60" s="54"/>
      <c r="I60" s="57">
        <f t="shared" ref="I60:I61" si="11">ROUND($C60*G60,0)</f>
        <v>234329</v>
      </c>
      <c r="J60" s="57"/>
      <c r="K60" s="346"/>
      <c r="L60" s="64"/>
      <c r="M60" s="64"/>
    </row>
    <row r="61" spans="1:13">
      <c r="A61" s="76" t="s">
        <v>88</v>
      </c>
      <c r="B61" s="54"/>
      <c r="C61" s="81">
        <v>-562522.33265664149</v>
      </c>
      <c r="D61" s="73">
        <f>ROUND(SUM(F56,F59:F60,F65,F69)/SUM(C59:C60),6)</f>
        <v>8.6392999999999998E-2</v>
      </c>
      <c r="E61" s="54"/>
      <c r="F61" s="57">
        <f t="shared" si="10"/>
        <v>-48598</v>
      </c>
      <c r="G61" s="73">
        <f>ROUND(D61*(1+$M$73),6)</f>
        <v>9.3446000000000001E-2</v>
      </c>
      <c r="H61" s="54"/>
      <c r="I61" s="57">
        <f t="shared" si="11"/>
        <v>-52565</v>
      </c>
      <c r="J61" s="69"/>
      <c r="K61" s="310" t="s">
        <v>100</v>
      </c>
      <c r="L61" s="310"/>
      <c r="M61" s="310"/>
    </row>
    <row r="62" spans="1:13">
      <c r="A62" s="80" t="s">
        <v>36</v>
      </c>
      <c r="B62" s="54"/>
      <c r="C62" s="100">
        <f>SUM(C59:C61)</f>
        <v>119660401.46477678</v>
      </c>
      <c r="D62" s="54"/>
      <c r="E62" s="54"/>
      <c r="F62" s="99">
        <f>SUM(F59:F61)</f>
        <v>6671142</v>
      </c>
      <c r="G62" s="54"/>
      <c r="H62" s="54"/>
      <c r="I62" s="99">
        <f>SUM(I59:I61)</f>
        <v>7291252</v>
      </c>
      <c r="J62" s="69"/>
      <c r="K62" s="149"/>
      <c r="L62" s="64"/>
      <c r="M62" s="64"/>
    </row>
    <row r="63" spans="1:13">
      <c r="A63" s="54" t="s">
        <v>45</v>
      </c>
      <c r="B63" s="54"/>
      <c r="C63" s="55"/>
      <c r="D63" s="93"/>
      <c r="E63" s="54"/>
      <c r="F63" s="57"/>
      <c r="G63" s="93"/>
      <c r="H63" s="54"/>
      <c r="I63" s="57"/>
      <c r="J63" s="57"/>
      <c r="K63" s="149"/>
      <c r="L63" s="151"/>
      <c r="M63" s="64"/>
    </row>
    <row r="64" spans="1:13">
      <c r="A64" s="74" t="s">
        <v>147</v>
      </c>
      <c r="B64" s="54"/>
      <c r="C64" s="55">
        <v>604733</v>
      </c>
      <c r="D64" s="68">
        <f>'Exh. JAP-39 (Tariff)'!E94</f>
        <v>4.75</v>
      </c>
      <c r="E64" s="54"/>
      <c r="F64" s="57">
        <f>ROUND(D64*$C64,0)</f>
        <v>2872482</v>
      </c>
      <c r="G64" s="68">
        <f>ROUND(D64*(1+$M$31),2)</f>
        <v>5.04</v>
      </c>
      <c r="H64" s="54"/>
      <c r="I64" s="57">
        <f>ROUND(G64*$C64,0)</f>
        <v>3047854</v>
      </c>
      <c r="J64" s="57"/>
      <c r="K64" s="310" t="s">
        <v>100</v>
      </c>
      <c r="L64" s="310"/>
      <c r="M64" s="310"/>
    </row>
    <row r="65" spans="1:13">
      <c r="A65" s="80" t="s">
        <v>36</v>
      </c>
      <c r="B65" s="54"/>
      <c r="C65" s="100">
        <f>SUM(C64:C64)</f>
        <v>604733</v>
      </c>
      <c r="D65" s="93"/>
      <c r="E65" s="54"/>
      <c r="F65" s="99">
        <f>SUM(F64:F64)</f>
        <v>2872482</v>
      </c>
      <c r="G65" s="93"/>
      <c r="H65" s="54"/>
      <c r="I65" s="99">
        <f>SUM(I64:I64)</f>
        <v>3047854</v>
      </c>
      <c r="J65" s="57"/>
      <c r="K65" s="149"/>
      <c r="L65" s="64"/>
      <c r="M65" s="64"/>
    </row>
    <row r="66" spans="1:13">
      <c r="A66" s="54"/>
      <c r="B66" s="54"/>
      <c r="C66" s="81"/>
      <c r="D66" s="81"/>
      <c r="E66" s="54"/>
      <c r="F66" s="69"/>
      <c r="G66" s="81"/>
      <c r="H66" s="54"/>
      <c r="I66" s="69"/>
      <c r="J66" s="69"/>
      <c r="K66" s="149"/>
      <c r="L66" s="64"/>
      <c r="M66" s="64"/>
    </row>
    <row r="67" spans="1:13">
      <c r="A67" s="44" t="s">
        <v>350</v>
      </c>
      <c r="B67" s="54"/>
      <c r="C67" s="55">
        <v>0</v>
      </c>
      <c r="D67" s="138">
        <f>ROUND(D23-D64,2)</f>
        <v>6.57</v>
      </c>
      <c r="E67" s="54"/>
      <c r="F67" s="57">
        <f>ROUND(D67*$C67,0)</f>
        <v>0</v>
      </c>
      <c r="G67" s="138">
        <f>ROUND(G23-G64,2)</f>
        <v>6.97</v>
      </c>
      <c r="H67" s="54"/>
      <c r="I67" s="57">
        <f>ROUND(G67*$C67,0)</f>
        <v>0</v>
      </c>
      <c r="J67" s="69"/>
      <c r="K67" s="310" t="s">
        <v>351</v>
      </c>
      <c r="L67" s="310"/>
      <c r="M67" s="310"/>
    </row>
    <row r="68" spans="1:13">
      <c r="A68" s="54"/>
      <c r="B68" s="54"/>
      <c r="C68" s="81"/>
      <c r="D68" s="81"/>
      <c r="E68" s="54"/>
      <c r="F68" s="69"/>
      <c r="G68" s="81"/>
      <c r="H68" s="54"/>
      <c r="I68" s="69"/>
      <c r="J68" s="69"/>
      <c r="K68" s="149"/>
      <c r="L68" s="64"/>
      <c r="M68" s="64"/>
    </row>
    <row r="69" spans="1:13">
      <c r="A69" s="54" t="s">
        <v>110</v>
      </c>
      <c r="B69" s="54"/>
      <c r="C69" s="55">
        <v>49257775</v>
      </c>
      <c r="D69" s="97">
        <f>'Exh. JAP-39 (Tariff)'!E98</f>
        <v>3.0000000000000001E-3</v>
      </c>
      <c r="E69" s="54"/>
      <c r="F69" s="57">
        <f>ROUND(D69*$C69,0)</f>
        <v>147773</v>
      </c>
      <c r="G69" s="97">
        <f>ROUND(D69*(1+$M$31),5)</f>
        <v>3.1800000000000001E-3</v>
      </c>
      <c r="H69" s="54"/>
      <c r="I69" s="57">
        <f>ROUND(G69*$C69,0)</f>
        <v>156640</v>
      </c>
      <c r="J69" s="69"/>
      <c r="K69" s="310" t="s">
        <v>100</v>
      </c>
      <c r="L69" s="310"/>
      <c r="M69" s="310"/>
    </row>
    <row r="70" spans="1:13">
      <c r="A70" s="54"/>
      <c r="B70" s="54"/>
      <c r="C70" s="81"/>
      <c r="D70" s="81"/>
      <c r="E70" s="54"/>
      <c r="F70" s="69"/>
      <c r="G70" s="81"/>
      <c r="H70" s="54"/>
      <c r="I70" s="69"/>
      <c r="J70" s="69"/>
      <c r="K70" s="150"/>
      <c r="L70" s="151"/>
      <c r="M70" s="64"/>
    </row>
    <row r="71" spans="1:13" ht="16.5" thickBot="1">
      <c r="A71" s="54" t="s">
        <v>40</v>
      </c>
      <c r="B71" s="54"/>
      <c r="C71" s="81"/>
      <c r="D71" s="81"/>
      <c r="E71" s="54"/>
      <c r="F71" s="89">
        <f>SUM(F56,F62,F65,F69)</f>
        <v>10337824</v>
      </c>
      <c r="G71" s="81"/>
      <c r="H71" s="54"/>
      <c r="I71" s="89">
        <f>SUM(I56,I62,I65,I69)</f>
        <v>11181757</v>
      </c>
      <c r="J71" s="69"/>
      <c r="K71" s="150"/>
      <c r="L71" s="151"/>
      <c r="M71" s="64"/>
    </row>
    <row r="72" spans="1:13" ht="16.5" thickTop="1">
      <c r="A72" s="54"/>
      <c r="B72" s="98"/>
      <c r="C72" s="81"/>
      <c r="D72" s="81"/>
      <c r="E72" s="54"/>
      <c r="F72" s="57"/>
      <c r="G72" s="81"/>
      <c r="H72" s="54"/>
      <c r="I72" s="57"/>
      <c r="J72" s="57"/>
      <c r="K72" s="150"/>
      <c r="L72" s="151"/>
      <c r="M72" s="64"/>
    </row>
    <row r="73" spans="1:13">
      <c r="K73" s="137" t="s">
        <v>149</v>
      </c>
      <c r="L73" s="91">
        <f>'Exh. JAP-39 (Rate Spread)'!K18*1000</f>
        <v>11181750.437842835</v>
      </c>
      <c r="M73" s="92">
        <f>L73/SUM(F71)-1</f>
        <v>8.1634823522129585E-2</v>
      </c>
    </row>
    <row r="74" spans="1:13">
      <c r="B74" s="54"/>
      <c r="C74" s="55"/>
      <c r="D74" s="57"/>
      <c r="E74" s="54"/>
      <c r="F74" s="54"/>
      <c r="G74" s="57"/>
      <c r="H74" s="54"/>
      <c r="I74" s="57" t="s">
        <v>0</v>
      </c>
      <c r="J74" s="57"/>
      <c r="K74" s="94" t="s">
        <v>39</v>
      </c>
      <c r="L74" s="95">
        <f>L73-I71-I93</f>
        <v>-6.5621571652591228</v>
      </c>
      <c r="M74" s="96" t="s">
        <v>0</v>
      </c>
    </row>
  </sheetData>
  <mergeCells count="23">
    <mergeCell ref="K69:M69"/>
    <mergeCell ref="K46:M46"/>
    <mergeCell ref="K49:M49"/>
    <mergeCell ref="K56:M56"/>
    <mergeCell ref="K58:M58"/>
    <mergeCell ref="K64:M64"/>
    <mergeCell ref="K67:M67"/>
    <mergeCell ref="K61:M61"/>
    <mergeCell ref="K27:M27"/>
    <mergeCell ref="K37:M37"/>
    <mergeCell ref="K39:M39"/>
    <mergeCell ref="K42:M42"/>
    <mergeCell ref="K45:M45"/>
    <mergeCell ref="K15:M15"/>
    <mergeCell ref="K17:M17"/>
    <mergeCell ref="K20:M20"/>
    <mergeCell ref="K23:M23"/>
    <mergeCell ref="K24:M24"/>
    <mergeCell ref="A2:J2"/>
    <mergeCell ref="A3:I3"/>
    <mergeCell ref="A4:I4"/>
    <mergeCell ref="D9:F9"/>
    <mergeCell ref="G9:I9"/>
  </mergeCells>
  <printOptions horizontalCentered="1"/>
  <pageMargins left="0.7" right="0.7" top="0.75" bottom="0.71" header="0.3" footer="0.3"/>
  <pageSetup scale="65" fitToHeight="5" orientation="landscape" r:id="rId1"/>
  <headerFooter alignWithMargins="0">
    <oddFooter>&amp;RExhibit No.___(JAP-39)
Page &amp;P of &amp;N</oddFooter>
  </headerFooter>
  <rowBreaks count="1" manualBreakCount="1">
    <brk id="33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0"/>
  <dimension ref="A1:AH81"/>
  <sheetViews>
    <sheetView view="pageBreakPreview" zoomScale="80" zoomScaleNormal="100" zoomScaleSheetLayoutView="80" workbookViewId="0">
      <pane ySplit="10" topLeftCell="A61" activePane="bottomLeft" state="frozen"/>
      <selection sqref="A1:XFD1048576"/>
      <selection pane="bottomLeft" activeCell="L64" sqref="L64"/>
    </sheetView>
  </sheetViews>
  <sheetFormatPr defaultColWidth="10.25" defaultRowHeight="15.75"/>
  <cols>
    <col min="1" max="1" width="39.75" style="44" bestFit="1" customWidth="1"/>
    <col min="2" max="2" width="1.375" style="44" bestFit="1" customWidth="1"/>
    <col min="3" max="4" width="18.875" style="44" bestFit="1" customWidth="1"/>
    <col min="5" max="5" width="17.625" style="44" bestFit="1" customWidth="1"/>
    <col min="6" max="6" width="2" style="44" bestFit="1" customWidth="1"/>
    <col min="7" max="7" width="14.375" style="44" bestFit="1" customWidth="1"/>
    <col min="8" max="8" width="13.75" style="44" customWidth="1"/>
    <col min="9" max="9" width="2" style="44" bestFit="1" customWidth="1"/>
    <col min="10" max="10" width="13.75" style="44" customWidth="1"/>
    <col min="11" max="11" width="2.25" style="44" customWidth="1"/>
    <col min="12" max="12" width="9.75" style="44" customWidth="1"/>
    <col min="13" max="13" width="11.625" style="65" bestFit="1" customWidth="1"/>
    <col min="14" max="14" width="20.25" style="65" customWidth="1"/>
    <col min="15" max="15" width="7.125" style="65" bestFit="1" customWidth="1"/>
    <col min="16" max="16" width="7.125" style="44" bestFit="1" customWidth="1"/>
    <col min="17" max="18" width="1.375" style="44" bestFit="1" customWidth="1"/>
    <col min="19" max="19" width="14.125" style="44" bestFit="1" customWidth="1"/>
    <col min="20" max="20" width="1.375" style="44" bestFit="1" customWidth="1"/>
    <col min="21" max="21" width="13.25" style="44" bestFit="1" customWidth="1"/>
    <col min="22" max="22" width="13" style="44" bestFit="1" customWidth="1"/>
    <col min="23" max="23" width="12.25" style="44" bestFit="1" customWidth="1"/>
    <col min="24" max="24" width="5.5" style="44" bestFit="1" customWidth="1"/>
    <col min="25" max="25" width="1.375" style="44" bestFit="1" customWidth="1"/>
    <col min="26" max="26" width="10.25" style="44" customWidth="1"/>
    <col min="27" max="27" width="12.125" style="44" customWidth="1"/>
    <col min="28" max="16384" width="10.25" style="44"/>
  </cols>
  <sheetData>
    <row r="1" spans="1:34" ht="18.75">
      <c r="K1" s="139"/>
      <c r="L1" s="63"/>
      <c r="M1" s="64"/>
      <c r="N1" s="64"/>
      <c r="O1" s="64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</row>
    <row r="2" spans="1:34" ht="18.75">
      <c r="A2" s="311" t="s">
        <v>54</v>
      </c>
      <c r="B2" s="311"/>
      <c r="C2" s="311"/>
      <c r="D2" s="311"/>
      <c r="E2" s="311"/>
      <c r="F2" s="311"/>
      <c r="G2" s="311"/>
      <c r="H2" s="311"/>
      <c r="I2" s="311"/>
      <c r="J2" s="311"/>
      <c r="K2" s="139"/>
      <c r="L2" s="63"/>
      <c r="M2" s="64"/>
      <c r="N2" s="64"/>
      <c r="O2" s="64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</row>
    <row r="3" spans="1:34">
      <c r="A3" s="330" t="str">
        <f>'Exh. JAP-39 (Prof-Prop)'!$B$6</f>
        <v>12 MONTHS ENDED SEPTEMBER 2016</v>
      </c>
      <c r="B3" s="330"/>
      <c r="C3" s="330"/>
      <c r="D3" s="330"/>
      <c r="E3" s="330"/>
      <c r="F3" s="330"/>
      <c r="G3" s="330"/>
      <c r="H3" s="330"/>
      <c r="I3" s="330"/>
      <c r="J3" s="330"/>
      <c r="K3" s="140"/>
      <c r="L3" s="63"/>
      <c r="M3" s="64"/>
      <c r="N3" s="64"/>
      <c r="O3" s="64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</row>
    <row r="4" spans="1:34">
      <c r="A4" s="304" t="s">
        <v>31</v>
      </c>
      <c r="B4" s="304"/>
      <c r="C4" s="304"/>
      <c r="D4" s="304"/>
      <c r="E4" s="304"/>
      <c r="F4" s="304"/>
      <c r="G4" s="304"/>
      <c r="H4" s="304"/>
      <c r="I4" s="304"/>
      <c r="J4" s="304"/>
      <c r="K4" s="45"/>
      <c r="L4" s="63"/>
      <c r="M4" s="64"/>
      <c r="N4" s="64"/>
      <c r="O4" s="64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</row>
    <row r="5" spans="1:34">
      <c r="A5" s="46" t="s">
        <v>150</v>
      </c>
      <c r="B5" s="141"/>
      <c r="C5" s="141"/>
      <c r="D5" s="141"/>
      <c r="E5" s="142"/>
      <c r="F5" s="142"/>
      <c r="G5" s="141"/>
      <c r="H5" s="142"/>
      <c r="I5" s="141"/>
      <c r="J5" s="141"/>
      <c r="K5" s="141"/>
      <c r="L5" s="63"/>
      <c r="M5" s="64"/>
      <c r="N5" s="64"/>
      <c r="O5" s="64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</row>
    <row r="6" spans="1:34">
      <c r="A6" s="46"/>
      <c r="B6" s="141"/>
      <c r="C6" s="141"/>
      <c r="D6" s="141"/>
      <c r="E6" s="142"/>
      <c r="F6" s="142"/>
      <c r="G6" s="141"/>
      <c r="H6" s="142"/>
      <c r="I6" s="141"/>
      <c r="J6" s="141"/>
      <c r="K6" s="141"/>
      <c r="L6" s="63"/>
      <c r="M6" s="64"/>
      <c r="N6" s="64"/>
      <c r="O6" s="64"/>
      <c r="P6" s="64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</row>
    <row r="7" spans="1:34">
      <c r="A7" s="141"/>
      <c r="B7" s="141"/>
      <c r="C7" s="141"/>
      <c r="D7" s="141"/>
      <c r="E7" s="142"/>
      <c r="F7" s="142"/>
      <c r="G7" s="141"/>
      <c r="H7" s="142"/>
      <c r="I7" s="141"/>
      <c r="J7" s="141"/>
      <c r="K7" s="141"/>
      <c r="L7" s="63"/>
      <c r="M7" s="64"/>
      <c r="N7" s="64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</row>
    <row r="8" spans="1:34">
      <c r="A8" s="48"/>
      <c r="B8" s="48"/>
      <c r="C8" s="47"/>
      <c r="D8" s="47"/>
      <c r="E8" s="48"/>
      <c r="F8" s="48"/>
      <c r="H8" s="48"/>
      <c r="I8" s="49"/>
      <c r="J8" s="49"/>
      <c r="K8" s="49"/>
      <c r="L8" s="63"/>
      <c r="M8" s="64"/>
      <c r="N8" s="64"/>
      <c r="O8" s="64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</row>
    <row r="9" spans="1:34">
      <c r="A9" s="48"/>
      <c r="B9" s="48"/>
      <c r="C9" s="47" t="s">
        <v>32</v>
      </c>
      <c r="D9" s="47" t="s">
        <v>32</v>
      </c>
      <c r="E9" s="305" t="s">
        <v>3</v>
      </c>
      <c r="F9" s="306"/>
      <c r="G9" s="307"/>
      <c r="H9" s="308" t="str">
        <f>'Exh. JAP-39 (Res RD)'!$G$9</f>
        <v>Proposed Effective December 2017</v>
      </c>
      <c r="I9" s="320"/>
      <c r="J9" s="321"/>
      <c r="K9" s="49"/>
      <c r="L9" s="63"/>
      <c r="M9" s="64"/>
      <c r="N9" s="64"/>
      <c r="O9" s="64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</row>
    <row r="10" spans="1:34">
      <c r="A10" s="48"/>
      <c r="B10" s="48"/>
      <c r="C10" s="51" t="s">
        <v>33</v>
      </c>
      <c r="D10" s="51" t="s">
        <v>4</v>
      </c>
      <c r="E10" s="52" t="s">
        <v>34</v>
      </c>
      <c r="F10" s="53"/>
      <c r="G10" s="49" t="s">
        <v>35</v>
      </c>
      <c r="H10" s="52" t="s">
        <v>34</v>
      </c>
      <c r="I10" s="52"/>
      <c r="J10" s="52" t="s">
        <v>35</v>
      </c>
      <c r="K10" s="52"/>
      <c r="L10" s="63"/>
      <c r="M10" s="64"/>
      <c r="N10" s="64"/>
      <c r="O10" s="64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</row>
    <row r="11" spans="1:34">
      <c r="C11" s="55"/>
      <c r="D11" s="55"/>
      <c r="E11" s="54" t="s">
        <v>0</v>
      </c>
      <c r="F11" s="55"/>
      <c r="G11" s="57"/>
      <c r="H11" s="54" t="s">
        <v>0</v>
      </c>
      <c r="I11" s="55"/>
      <c r="J11" s="57" t="s">
        <v>0</v>
      </c>
      <c r="K11" s="57"/>
      <c r="L11" s="63"/>
      <c r="M11" s="64"/>
      <c r="N11" s="64"/>
      <c r="O11" s="64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H11" s="66"/>
    </row>
    <row r="12" spans="1:34">
      <c r="A12" s="67" t="s">
        <v>47</v>
      </c>
      <c r="B12" s="54"/>
      <c r="C12" s="55"/>
      <c r="D12" s="55"/>
      <c r="E12" s="57"/>
      <c r="F12" s="54"/>
      <c r="G12" s="54"/>
      <c r="H12" s="57"/>
      <c r="I12" s="54"/>
      <c r="J12" s="57" t="s">
        <v>0</v>
      </c>
      <c r="K12" s="57"/>
      <c r="M12" s="44"/>
      <c r="N12" s="44"/>
      <c r="O12" s="64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</row>
    <row r="13" spans="1:34">
      <c r="A13" s="67" t="s">
        <v>151</v>
      </c>
      <c r="B13" s="54"/>
      <c r="C13" s="54" t="s">
        <v>0</v>
      </c>
      <c r="D13" s="54"/>
      <c r="E13" s="57"/>
      <c r="F13" s="54"/>
      <c r="G13" s="54"/>
      <c r="H13" s="57"/>
      <c r="I13" s="54"/>
      <c r="J13" s="54"/>
      <c r="K13" s="54"/>
      <c r="M13" s="44"/>
      <c r="N13" s="44"/>
      <c r="O13" s="64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</row>
    <row r="14" spans="1:34">
      <c r="A14" s="54" t="s">
        <v>152</v>
      </c>
      <c r="B14" s="54"/>
      <c r="C14" s="54"/>
      <c r="D14" s="54"/>
      <c r="E14" s="57"/>
      <c r="F14" s="54"/>
      <c r="G14" s="54"/>
      <c r="H14" s="57"/>
      <c r="I14" s="54"/>
      <c r="J14" s="54"/>
      <c r="K14" s="54"/>
      <c r="M14" s="44"/>
      <c r="N14" s="44"/>
      <c r="O14" s="64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</row>
    <row r="15" spans="1:34">
      <c r="A15" s="74" t="s">
        <v>153</v>
      </c>
      <c r="B15" s="54"/>
      <c r="C15" s="55">
        <v>710</v>
      </c>
      <c r="D15" s="55"/>
      <c r="E15" s="68">
        <f>'Exh. JAP-39 (Tariff)'!E103</f>
        <v>51.67</v>
      </c>
      <c r="F15" s="54"/>
      <c r="G15" s="57">
        <f t="shared" ref="G15:G17" si="0">ROUND(E15*$C15,0)</f>
        <v>36686</v>
      </c>
      <c r="H15" s="68">
        <f>'Exh. JAP-39 (SV RD)'!G31</f>
        <v>54.83</v>
      </c>
      <c r="I15" s="54"/>
      <c r="J15" s="57">
        <f t="shared" ref="J15:J17" si="1">ROUND(H15*$C15,0)</f>
        <v>38929</v>
      </c>
      <c r="K15" s="57"/>
      <c r="L15" s="310" t="s">
        <v>156</v>
      </c>
      <c r="M15" s="310"/>
      <c r="N15" s="310"/>
      <c r="O15" s="64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</row>
    <row r="16" spans="1:34">
      <c r="A16" s="74" t="s">
        <v>154</v>
      </c>
      <c r="B16" s="54"/>
      <c r="C16" s="55">
        <v>898</v>
      </c>
      <c r="D16" s="55"/>
      <c r="E16" s="68">
        <f>'Exh. JAP-39 (Tariff)'!E104</f>
        <v>104.46</v>
      </c>
      <c r="F16" s="54"/>
      <c r="G16" s="57">
        <f t="shared" si="0"/>
        <v>93805</v>
      </c>
      <c r="H16" s="68">
        <f>'Exh. JAP-39 (SV RD)'!G55</f>
        <v>110.86</v>
      </c>
      <c r="I16" s="54"/>
      <c r="J16" s="57">
        <f t="shared" si="1"/>
        <v>99552</v>
      </c>
      <c r="K16" s="57"/>
      <c r="L16" s="310" t="s">
        <v>157</v>
      </c>
      <c r="M16" s="310"/>
      <c r="N16" s="310"/>
      <c r="O16" s="64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</row>
    <row r="17" spans="1:27">
      <c r="A17" s="74" t="s">
        <v>155</v>
      </c>
      <c r="B17" s="54"/>
      <c r="C17" s="55">
        <v>399</v>
      </c>
      <c r="D17" s="55"/>
      <c r="E17" s="68">
        <f>'Exh. JAP-39 (Tariff)'!E105</f>
        <v>339.51</v>
      </c>
      <c r="F17" s="54"/>
      <c r="G17" s="57">
        <f t="shared" si="0"/>
        <v>135464</v>
      </c>
      <c r="H17" s="68">
        <f>'Exh. JAP-39 (PV RD)'!G15</f>
        <v>360.3</v>
      </c>
      <c r="I17" s="54"/>
      <c r="J17" s="57">
        <f t="shared" si="1"/>
        <v>143760</v>
      </c>
      <c r="K17" s="57"/>
      <c r="L17" s="310" t="s">
        <v>158</v>
      </c>
      <c r="M17" s="310"/>
      <c r="N17" s="310"/>
      <c r="O17" s="64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:27">
      <c r="A18" s="80" t="s">
        <v>36</v>
      </c>
      <c r="B18" s="54"/>
      <c r="C18" s="55">
        <f>SUM(C15:C17)</f>
        <v>2007</v>
      </c>
      <c r="D18" s="55"/>
      <c r="E18" s="68"/>
      <c r="F18" s="54"/>
      <c r="G18" s="99">
        <f>SUM(G15:G17)</f>
        <v>265955</v>
      </c>
      <c r="H18" s="68"/>
      <c r="I18" s="54"/>
      <c r="J18" s="99">
        <f>SUM(J15:J17)</f>
        <v>282241</v>
      </c>
      <c r="K18" s="57"/>
      <c r="L18" s="149"/>
      <c r="M18" s="64"/>
      <c r="N18" s="64"/>
      <c r="O18" s="64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</row>
    <row r="19" spans="1:27">
      <c r="A19" s="54"/>
      <c r="B19" s="54"/>
      <c r="C19" s="55"/>
      <c r="D19" s="55"/>
      <c r="E19" s="68"/>
      <c r="F19" s="54"/>
      <c r="G19" s="57"/>
      <c r="H19" s="68"/>
      <c r="I19" s="54"/>
      <c r="J19" s="57"/>
      <c r="K19" s="57"/>
      <c r="L19" s="149"/>
      <c r="M19" s="64"/>
      <c r="N19" s="64"/>
      <c r="O19" s="64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</row>
    <row r="20" spans="1:27">
      <c r="A20" s="54" t="s">
        <v>46</v>
      </c>
      <c r="B20" s="54"/>
      <c r="C20" s="55"/>
      <c r="D20" s="55"/>
      <c r="E20" s="56"/>
      <c r="F20" s="57"/>
      <c r="G20" s="57"/>
      <c r="H20" s="56"/>
      <c r="I20" s="57"/>
      <c r="J20" s="57"/>
      <c r="K20" s="57"/>
      <c r="L20" s="63"/>
      <c r="M20" s="64"/>
      <c r="N20" s="64"/>
      <c r="O20" s="64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7">
      <c r="A21" s="74" t="s">
        <v>159</v>
      </c>
      <c r="B21" s="54"/>
      <c r="C21" s="55">
        <v>319260957.07700002</v>
      </c>
      <c r="D21" s="55"/>
      <c r="E21" s="73">
        <f>'Exh. JAP-39 (Tariff)'!E108</f>
        <v>5.6638000000000001E-2</v>
      </c>
      <c r="F21" s="57"/>
      <c r="G21" s="57">
        <f t="shared" ref="G21" si="2">ROUND($C21*E21,0)</f>
        <v>18082302</v>
      </c>
      <c r="H21" s="73">
        <f>G61</f>
        <v>6.1274000000000002E-2</v>
      </c>
      <c r="I21" s="57"/>
      <c r="J21" s="57">
        <f t="shared" ref="J21" si="3">ROUND($C21*H21,0)</f>
        <v>19562396</v>
      </c>
      <c r="K21" s="57"/>
      <c r="L21" s="310" t="s">
        <v>162</v>
      </c>
      <c r="M21" s="310"/>
      <c r="N21" s="310"/>
      <c r="O21" s="64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</row>
    <row r="22" spans="1:27">
      <c r="A22" s="74" t="s">
        <v>155</v>
      </c>
      <c r="B22" s="54"/>
      <c r="C22" s="55">
        <v>363108300</v>
      </c>
      <c r="D22" s="55"/>
      <c r="E22" s="73">
        <f>'Exh. JAP-39 (Tariff)'!E110</f>
        <v>5.5190999999999997E-2</v>
      </c>
      <c r="F22" s="57"/>
      <c r="G22" s="57">
        <f t="shared" ref="G22" si="4">ROUND($C22*E22,0)</f>
        <v>20040310</v>
      </c>
      <c r="H22" s="73">
        <f>G60</f>
        <v>5.8862999999999999E-2</v>
      </c>
      <c r="I22" s="57"/>
      <c r="J22" s="57">
        <f t="shared" ref="J22" si="5">ROUND($C22*H22,0)</f>
        <v>21373644</v>
      </c>
      <c r="K22" s="57"/>
      <c r="L22" s="310" t="s">
        <v>162</v>
      </c>
      <c r="M22" s="310"/>
      <c r="N22" s="310"/>
      <c r="O22" s="64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</row>
    <row r="23" spans="1:27">
      <c r="A23" s="80" t="s">
        <v>36</v>
      </c>
      <c r="B23" s="54"/>
      <c r="C23" s="100">
        <f>SUM(C21:C22)</f>
        <v>682369257.07700002</v>
      </c>
      <c r="D23" s="81"/>
      <c r="E23" s="101"/>
      <c r="F23" s="54"/>
      <c r="G23" s="99">
        <f>SUM(G21:G22)</f>
        <v>38122612</v>
      </c>
      <c r="H23" s="101"/>
      <c r="I23" s="54"/>
      <c r="J23" s="99">
        <f>SUM(J21:J22)</f>
        <v>40936040</v>
      </c>
      <c r="K23" s="57"/>
      <c r="L23" s="278"/>
      <c r="M23" s="278"/>
      <c r="N23" s="278"/>
      <c r="O23" s="64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</row>
    <row r="24" spans="1:27">
      <c r="A24" s="74" t="s">
        <v>160</v>
      </c>
      <c r="B24" s="54"/>
      <c r="C24" s="55">
        <v>423503.04529972037</v>
      </c>
      <c r="D24" s="55"/>
      <c r="E24" s="73">
        <f>E21</f>
        <v>5.6638000000000001E-2</v>
      </c>
      <c r="F24" s="54"/>
      <c r="G24" s="57">
        <f t="shared" ref="G24:G26" si="6">ROUND($C24*E24,0)</f>
        <v>23986</v>
      </c>
      <c r="H24" s="73">
        <f>H21</f>
        <v>6.1274000000000002E-2</v>
      </c>
      <c r="I24" s="54"/>
      <c r="J24" s="57">
        <f t="shared" ref="J24:J26" si="7">ROUND($C24*H24,0)</f>
        <v>25950</v>
      </c>
      <c r="K24" s="57"/>
      <c r="L24" s="310" t="s">
        <v>162</v>
      </c>
      <c r="M24" s="310"/>
      <c r="N24" s="310"/>
      <c r="O24" s="64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</row>
    <row r="25" spans="1:27">
      <c r="A25" s="74" t="s">
        <v>161</v>
      </c>
      <c r="B25" s="54"/>
      <c r="C25" s="55">
        <v>-30131.256685476576</v>
      </c>
      <c r="D25" s="55"/>
      <c r="E25" s="73">
        <f>E22</f>
        <v>5.5190999999999997E-2</v>
      </c>
      <c r="F25" s="54"/>
      <c r="G25" s="57">
        <f t="shared" ref="G25" si="8">ROUND($C25*E25,0)</f>
        <v>-1663</v>
      </c>
      <c r="H25" s="73">
        <f>H22</f>
        <v>5.8862999999999999E-2</v>
      </c>
      <c r="I25" s="54"/>
      <c r="J25" s="57">
        <f t="shared" ref="J25" si="9">ROUND($C25*H25,0)</f>
        <v>-1774</v>
      </c>
      <c r="K25" s="57"/>
      <c r="L25" s="310" t="s">
        <v>162</v>
      </c>
      <c r="M25" s="310"/>
      <c r="N25" s="310"/>
      <c r="O25" s="64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</row>
    <row r="26" spans="1:27">
      <c r="A26" s="76" t="s">
        <v>88</v>
      </c>
      <c r="B26" s="54"/>
      <c r="C26" s="81">
        <v>-8158575.4494833089</v>
      </c>
      <c r="D26" s="81"/>
      <c r="E26" s="73">
        <f>ROUND(SUM(G18,G23:G25,G32,G37,G39)/SUM(C23:C25),6)</f>
        <v>7.0911000000000002E-2</v>
      </c>
      <c r="F26" s="54"/>
      <c r="G26" s="57">
        <f t="shared" si="6"/>
        <v>-578533</v>
      </c>
      <c r="H26" s="73">
        <f>ROUND(SUM(J18,J23:J25,J32,J37,J39)/SUM(C23:C25),6)</f>
        <v>7.6895000000000005E-2</v>
      </c>
      <c r="I26" s="54"/>
      <c r="J26" s="57">
        <f t="shared" si="7"/>
        <v>-627354</v>
      </c>
      <c r="K26" s="69"/>
      <c r="L26" s="310" t="s">
        <v>185</v>
      </c>
      <c r="M26" s="310"/>
      <c r="N26" s="310"/>
    </row>
    <row r="27" spans="1:27">
      <c r="A27" s="80" t="s">
        <v>36</v>
      </c>
      <c r="B27" s="54"/>
      <c r="C27" s="100">
        <f>SUM(C23:C26)</f>
        <v>674604053.41613102</v>
      </c>
      <c r="D27" s="81"/>
      <c r="E27" s="54"/>
      <c r="F27" s="54"/>
      <c r="G27" s="99">
        <f>SUM(G23:G26)</f>
        <v>37566402</v>
      </c>
      <c r="H27" s="54"/>
      <c r="I27" s="54"/>
      <c r="J27" s="99">
        <f>SUM(J23:J26)</f>
        <v>40332862</v>
      </c>
      <c r="K27" s="69"/>
      <c r="L27" s="278"/>
      <c r="M27" s="278"/>
      <c r="N27" s="278"/>
    </row>
    <row r="28" spans="1:27">
      <c r="A28" s="80"/>
      <c r="B28" s="54"/>
      <c r="C28" s="81"/>
      <c r="D28" s="81"/>
      <c r="E28" s="54"/>
      <c r="F28" s="54"/>
      <c r="G28" s="69"/>
      <c r="H28" s="54"/>
      <c r="I28" s="54"/>
      <c r="J28" s="69"/>
      <c r="K28" s="69"/>
      <c r="L28" s="278"/>
      <c r="M28" s="278"/>
      <c r="N28" s="278"/>
    </row>
    <row r="29" spans="1:27">
      <c r="A29" s="54" t="s">
        <v>45</v>
      </c>
      <c r="B29" s="54"/>
      <c r="C29" s="55"/>
      <c r="D29" s="55"/>
      <c r="E29" s="93"/>
      <c r="F29" s="54"/>
      <c r="G29" s="57"/>
      <c r="H29" s="93"/>
      <c r="I29" s="54"/>
      <c r="J29" s="57"/>
      <c r="K29" s="57"/>
      <c r="L29" s="278"/>
      <c r="M29" s="278"/>
      <c r="N29" s="278"/>
    </row>
    <row r="30" spans="1:27">
      <c r="A30" s="74" t="s">
        <v>163</v>
      </c>
      <c r="B30" s="54"/>
      <c r="C30" s="55">
        <v>659294</v>
      </c>
      <c r="D30" s="55">
        <v>654138</v>
      </c>
      <c r="E30" s="68">
        <f>'Exh. JAP-39 (Tariff)'!E114</f>
        <v>4.2</v>
      </c>
      <c r="F30" s="54"/>
      <c r="G30" s="57">
        <f t="shared" ref="G30:G31" si="10">ROUND(E30*$C30,0)</f>
        <v>2769035</v>
      </c>
      <c r="H30" s="68">
        <f>G57</f>
        <v>4.3899999999999997</v>
      </c>
      <c r="I30" s="54"/>
      <c r="J30" s="57">
        <f>ROUND($D30*H30,0)</f>
        <v>2871666</v>
      </c>
      <c r="K30" s="57"/>
      <c r="L30" s="310" t="s">
        <v>183</v>
      </c>
      <c r="M30" s="310"/>
      <c r="N30" s="310"/>
      <c r="O30" s="44"/>
    </row>
    <row r="31" spans="1:27">
      <c r="A31" s="74" t="s">
        <v>164</v>
      </c>
      <c r="B31" s="54"/>
      <c r="C31" s="55">
        <v>667663</v>
      </c>
      <c r="D31" s="55">
        <v>669786</v>
      </c>
      <c r="E31" s="68">
        <f>'Exh. JAP-39 (Tariff)'!E115</f>
        <v>4.1100000000000003</v>
      </c>
      <c r="F31" s="54"/>
      <c r="G31" s="57">
        <f t="shared" si="10"/>
        <v>2744095</v>
      </c>
      <c r="H31" s="68">
        <f>G56</f>
        <v>4.22</v>
      </c>
      <c r="I31" s="54"/>
      <c r="J31" s="57">
        <f>ROUND($D31*H31,0)</f>
        <v>2826497</v>
      </c>
      <c r="K31" s="57"/>
      <c r="L31" s="310" t="s">
        <v>183</v>
      </c>
      <c r="M31" s="310"/>
      <c r="N31" s="310"/>
      <c r="O31" s="44"/>
    </row>
    <row r="32" spans="1:27">
      <c r="A32" s="80" t="s">
        <v>36</v>
      </c>
      <c r="B32" s="54"/>
      <c r="C32" s="100">
        <f>SUM(C30:C31)</f>
        <v>1326957</v>
      </c>
      <c r="D32" s="100">
        <f>SUM(D30:D31)</f>
        <v>1323924</v>
      </c>
      <c r="E32" s="93"/>
      <c r="F32" s="54"/>
      <c r="G32" s="99">
        <f>SUM(G30:G31)</f>
        <v>5513130</v>
      </c>
      <c r="H32" s="93"/>
      <c r="I32" s="54"/>
      <c r="J32" s="99">
        <f>SUM(J30:J31)</f>
        <v>5698163</v>
      </c>
      <c r="K32" s="57"/>
      <c r="L32" s="149"/>
      <c r="M32" s="64"/>
      <c r="N32" s="64"/>
    </row>
    <row r="33" spans="1:14">
      <c r="A33" s="54"/>
      <c r="B33" s="54"/>
      <c r="C33" s="81"/>
      <c r="D33" s="81"/>
      <c r="E33" s="81"/>
      <c r="F33" s="54"/>
      <c r="G33" s="69"/>
      <c r="H33" s="81"/>
      <c r="I33" s="54"/>
      <c r="J33" s="69"/>
      <c r="K33" s="69"/>
      <c r="L33" s="149"/>
      <c r="M33" s="64"/>
      <c r="N33" s="64"/>
    </row>
    <row r="34" spans="1:14">
      <c r="A34" s="67" t="s">
        <v>166</v>
      </c>
      <c r="B34" s="54"/>
      <c r="C34" s="81"/>
      <c r="D34" s="81"/>
      <c r="E34" s="81"/>
      <c r="F34" s="54"/>
      <c r="G34" s="69"/>
      <c r="H34" s="81"/>
      <c r="I34" s="54"/>
      <c r="J34" s="69"/>
      <c r="K34" s="69"/>
      <c r="L34" s="149"/>
      <c r="M34" s="64"/>
      <c r="N34" s="64"/>
    </row>
    <row r="35" spans="1:14">
      <c r="A35" s="74" t="s">
        <v>159</v>
      </c>
      <c r="B35" s="54"/>
      <c r="C35" s="81">
        <v>76778010</v>
      </c>
      <c r="D35" s="81"/>
      <c r="E35" s="97">
        <v>1.2700000000000001E-3</v>
      </c>
      <c r="F35" s="54"/>
      <c r="G35" s="57">
        <f t="shared" ref="G35:G36" si="11">ROUND(E35*$C35,0)</f>
        <v>97508</v>
      </c>
      <c r="H35" s="97">
        <f>'Exh. JAP-39 (SV RD)'!G67</f>
        <v>1.32E-3</v>
      </c>
      <c r="I35" s="54"/>
      <c r="J35" s="57">
        <f>ROUND($C35*H35,0)</f>
        <v>101347</v>
      </c>
      <c r="K35" s="69"/>
      <c r="L35" s="310" t="s">
        <v>157</v>
      </c>
      <c r="M35" s="310"/>
      <c r="N35" s="310"/>
    </row>
    <row r="36" spans="1:14">
      <c r="A36" s="74" t="s">
        <v>155</v>
      </c>
      <c r="B36" s="54"/>
      <c r="C36" s="81">
        <v>110016571</v>
      </c>
      <c r="D36" s="81"/>
      <c r="E36" s="97">
        <f>'Exh. JAP-39 (Tariff)'!E120</f>
        <v>1.08E-3</v>
      </c>
      <c r="F36" s="54"/>
      <c r="G36" s="57">
        <f t="shared" si="11"/>
        <v>118818</v>
      </c>
      <c r="H36" s="97">
        <f>'Exh. JAP-39 (PV RD)'!G27</f>
        <v>1.1199999999999999E-3</v>
      </c>
      <c r="I36" s="54"/>
      <c r="J36" s="57">
        <f>ROUND($C36*H36,0)</f>
        <v>123219</v>
      </c>
      <c r="K36" s="69"/>
      <c r="L36" s="310" t="s">
        <v>158</v>
      </c>
      <c r="M36" s="310"/>
      <c r="N36" s="310"/>
    </row>
    <row r="37" spans="1:14">
      <c r="A37" s="80" t="s">
        <v>36</v>
      </c>
      <c r="B37" s="54"/>
      <c r="C37" s="100">
        <f>SUM(C33:C36)</f>
        <v>186794581</v>
      </c>
      <c r="D37" s="81"/>
      <c r="E37" s="97"/>
      <c r="F37" s="54"/>
      <c r="G37" s="99">
        <f>SUM(G35:G36)</f>
        <v>216326</v>
      </c>
      <c r="H37" s="97"/>
      <c r="I37" s="54"/>
      <c r="J37" s="99">
        <f>SUM(J35:J36)</f>
        <v>224566</v>
      </c>
      <c r="K37" s="69"/>
      <c r="L37" s="149"/>
      <c r="M37" s="64"/>
      <c r="N37" s="64"/>
    </row>
    <row r="38" spans="1:14">
      <c r="A38" s="54"/>
      <c r="B38" s="54"/>
      <c r="C38" s="55"/>
      <c r="D38" s="55"/>
      <c r="E38" s="97"/>
      <c r="F38" s="54"/>
      <c r="G38" s="57"/>
      <c r="H38" s="97"/>
      <c r="I38" s="54"/>
      <c r="J38" s="57"/>
      <c r="K38" s="69"/>
      <c r="L38" s="149"/>
      <c r="M38" s="64"/>
      <c r="N38" s="64"/>
    </row>
    <row r="39" spans="1:14">
      <c r="A39" s="54" t="s">
        <v>165</v>
      </c>
      <c r="B39" s="54"/>
      <c r="C39" s="55"/>
      <c r="D39" s="55"/>
      <c r="E39" s="97"/>
      <c r="F39" s="54"/>
      <c r="G39" s="99">
        <v>4274824.1299410872</v>
      </c>
      <c r="H39" s="97"/>
      <c r="I39" s="54"/>
      <c r="J39" s="99">
        <v>5335556.0598000009</v>
      </c>
      <c r="K39" s="69"/>
      <c r="L39" s="310" t="s">
        <v>184</v>
      </c>
      <c r="M39" s="310"/>
      <c r="N39" s="310"/>
    </row>
    <row r="40" spans="1:14">
      <c r="A40" s="54"/>
      <c r="B40" s="54"/>
      <c r="C40" s="81"/>
      <c r="D40" s="81"/>
      <c r="E40" s="81"/>
      <c r="F40" s="54"/>
      <c r="G40" s="69"/>
      <c r="H40" s="97"/>
      <c r="I40" s="54"/>
      <c r="J40" s="69"/>
      <c r="K40" s="69"/>
      <c r="L40" s="150"/>
      <c r="M40" s="151"/>
      <c r="N40" s="64"/>
    </row>
    <row r="41" spans="1:14" ht="16.5" thickBot="1">
      <c r="A41" s="54" t="s">
        <v>40</v>
      </c>
      <c r="B41" s="54"/>
      <c r="C41" s="81"/>
      <c r="D41" s="81"/>
      <c r="E41" s="81"/>
      <c r="F41" s="54"/>
      <c r="G41" s="89">
        <f>SUM(G39,G37,G32,G27,G18)</f>
        <v>47836637.129941091</v>
      </c>
      <c r="H41" s="81"/>
      <c r="I41" s="54"/>
      <c r="J41" s="89">
        <f>SUM(J39,J37,J32,J27,J18)</f>
        <v>51873388.059799999</v>
      </c>
      <c r="K41" s="69"/>
      <c r="L41" s="150"/>
      <c r="M41" s="151"/>
      <c r="N41" s="64"/>
    </row>
    <row r="42" spans="1:14" ht="16.5" thickTop="1">
      <c r="A42" s="54"/>
      <c r="B42" s="98"/>
      <c r="C42" s="81"/>
      <c r="D42" s="81"/>
      <c r="E42" s="81"/>
      <c r="F42" s="54"/>
      <c r="G42" s="57"/>
      <c r="H42" s="81"/>
      <c r="I42" s="54"/>
      <c r="J42" s="57"/>
      <c r="K42" s="57"/>
      <c r="L42" s="150"/>
      <c r="M42" s="151"/>
      <c r="N42" s="64"/>
    </row>
    <row r="43" spans="1:14">
      <c r="J43" s="102">
        <f>'Exh. JAP-39 (Rate Spread)'!K21*1000</f>
        <v>51873388.059785828</v>
      </c>
      <c r="K43" s="103"/>
      <c r="L43" s="315" t="s">
        <v>167</v>
      </c>
      <c r="M43" s="315"/>
      <c r="N43" s="316"/>
    </row>
    <row r="44" spans="1:14">
      <c r="B44" s="54"/>
      <c r="C44" s="55"/>
      <c r="D44" s="55"/>
      <c r="E44" s="57"/>
      <c r="F44" s="54"/>
      <c r="G44" s="54"/>
      <c r="H44" s="57"/>
      <c r="I44" s="54"/>
      <c r="J44" s="104">
        <f>J43-J41-J62</f>
        <v>-1.4171004295349121E-5</v>
      </c>
      <c r="K44" s="69"/>
      <c r="L44" s="317" t="s">
        <v>368</v>
      </c>
      <c r="M44" s="318"/>
      <c r="N44" s="319" t="s">
        <v>0</v>
      </c>
    </row>
    <row r="45" spans="1:14">
      <c r="B45" s="54"/>
      <c r="C45" s="55"/>
      <c r="D45" s="55"/>
      <c r="E45" s="57"/>
      <c r="F45" s="54"/>
      <c r="G45" s="54"/>
      <c r="H45" s="57"/>
      <c r="I45" s="54"/>
      <c r="J45" s="105">
        <f>J43/SUM(G41)-1</f>
        <v>8.4386177039985188E-2</v>
      </c>
      <c r="K45" s="79"/>
      <c r="L45" s="106"/>
      <c r="M45" s="107"/>
      <c r="N45" s="96"/>
    </row>
    <row r="46" spans="1:14">
      <c r="A46" s="44" t="s">
        <v>168</v>
      </c>
    </row>
    <row r="47" spans="1:14">
      <c r="A47" s="74" t="s">
        <v>169</v>
      </c>
    </row>
    <row r="48" spans="1:14">
      <c r="A48" s="108" t="s">
        <v>170</v>
      </c>
      <c r="C48" s="109">
        <v>0.95</v>
      </c>
      <c r="D48" s="110"/>
    </row>
    <row r="49" spans="1:7">
      <c r="A49" s="74" t="s">
        <v>175</v>
      </c>
      <c r="C49" s="224"/>
      <c r="D49" s="224"/>
      <c r="E49" s="224"/>
    </row>
    <row r="50" spans="1:7">
      <c r="A50" s="111" t="s">
        <v>176</v>
      </c>
      <c r="C50" s="110">
        <v>1.7552976600949292E-2</v>
      </c>
      <c r="D50" s="110"/>
      <c r="E50" s="110"/>
    </row>
    <row r="51" spans="1:7">
      <c r="A51" s="111" t="s">
        <v>177</v>
      </c>
      <c r="C51" s="110">
        <v>3.7069728960821585E-2</v>
      </c>
      <c r="D51" s="110">
        <f>+C51-C50</f>
        <v>1.9516752359872293E-2</v>
      </c>
    </row>
    <row r="52" spans="1:7">
      <c r="A52" s="111" t="s">
        <v>178</v>
      </c>
      <c r="C52" s="110">
        <v>7.8836606634277315E-2</v>
      </c>
      <c r="D52" s="110">
        <f>+C52-C50</f>
        <v>6.1283630033328026E-2</v>
      </c>
    </row>
    <row r="53" spans="1:7">
      <c r="A53" s="333"/>
      <c r="B53" s="334"/>
      <c r="C53" s="334"/>
      <c r="D53" s="112"/>
    </row>
    <row r="54" spans="1:7">
      <c r="A54" s="74" t="s">
        <v>181</v>
      </c>
      <c r="B54" s="334"/>
      <c r="C54" s="113" t="s">
        <v>186</v>
      </c>
      <c r="D54" s="113" t="s">
        <v>174</v>
      </c>
      <c r="E54" s="114" t="s">
        <v>179</v>
      </c>
      <c r="F54" s="114"/>
      <c r="G54" s="115" t="s">
        <v>180</v>
      </c>
    </row>
    <row r="55" spans="1:7">
      <c r="A55" s="116" t="s">
        <v>171</v>
      </c>
      <c r="C55" s="117">
        <f>'Exh. JAP-39 (Tariff)'!E116</f>
        <v>4.0199999999999996</v>
      </c>
      <c r="D55" s="117">
        <f>ROUND(C55*$C$48,2)</f>
        <v>3.82</v>
      </c>
      <c r="E55" s="117">
        <f>'Exh. JAP-39 (HV RD)'!G37</f>
        <v>3.93</v>
      </c>
      <c r="G55" s="44">
        <f>ROUND(E55/$C$48,2)</f>
        <v>4.1399999999999997</v>
      </c>
    </row>
    <row r="56" spans="1:7">
      <c r="A56" s="116" t="s">
        <v>172</v>
      </c>
      <c r="C56" s="117">
        <f>'Exh. JAP-39 (Tariff)'!E115</f>
        <v>4.1100000000000003</v>
      </c>
      <c r="D56" s="117">
        <f>ROUND(C56*$C$48,2)</f>
        <v>3.9</v>
      </c>
      <c r="E56" s="117">
        <f>ROUND(+E55*(1+D51),2)</f>
        <v>4.01</v>
      </c>
      <c r="G56" s="44">
        <f>ROUND(E56/$C$48,2)</f>
        <v>4.22</v>
      </c>
    </row>
    <row r="57" spans="1:7">
      <c r="A57" s="116" t="s">
        <v>173</v>
      </c>
      <c r="C57" s="117">
        <f>'Exh. JAP-39 (Tariff)'!E114</f>
        <v>4.2</v>
      </c>
      <c r="D57" s="117">
        <f>ROUND(C57*$C$48,2)</f>
        <v>3.99</v>
      </c>
      <c r="E57" s="117">
        <f>ROUND(+E55*(1+D52),2)</f>
        <v>4.17</v>
      </c>
      <c r="G57" s="44">
        <f>ROUND(E57/$C$48,2)</f>
        <v>4.3899999999999997</v>
      </c>
    </row>
    <row r="58" spans="1:7">
      <c r="A58" s="74" t="s">
        <v>182</v>
      </c>
      <c r="B58" s="334"/>
      <c r="C58" s="334"/>
      <c r="D58" s="112"/>
      <c r="E58" s="44" t="s">
        <v>179</v>
      </c>
      <c r="G58" s="88" t="s">
        <v>180</v>
      </c>
    </row>
    <row r="59" spans="1:7">
      <c r="A59" s="116" t="s">
        <v>171</v>
      </c>
      <c r="C59" s="73">
        <f>'Exh. JAP-39 (Tariff)'!E111</f>
        <v>5.4413000000000003E-2</v>
      </c>
      <c r="D59" s="118"/>
      <c r="E59" s="119">
        <f>ROUND('Exh. JAP-39 (HV RD)'!G32,6)</f>
        <v>5.7736000000000003E-2</v>
      </c>
      <c r="F59" s="118"/>
      <c r="G59" s="118">
        <f>E59</f>
        <v>5.7736000000000003E-2</v>
      </c>
    </row>
    <row r="60" spans="1:7">
      <c r="A60" s="116" t="s">
        <v>172</v>
      </c>
      <c r="C60" s="73">
        <f>'Exh. JAP-39 (Tariff)'!E110</f>
        <v>5.5190999999999997E-2</v>
      </c>
      <c r="D60" s="118"/>
      <c r="F60" s="118"/>
      <c r="G60" s="118">
        <f>ROUND(+E59*(1+D51),6)</f>
        <v>5.8862999999999999E-2</v>
      </c>
    </row>
    <row r="61" spans="1:7">
      <c r="A61" s="116" t="s">
        <v>173</v>
      </c>
      <c r="C61" s="73">
        <f>'Exh. JAP-39 (Tariff)'!E109</f>
        <v>5.6638000000000001E-2</v>
      </c>
      <c r="D61" s="118"/>
      <c r="F61" s="118"/>
      <c r="G61" s="118">
        <f>ROUND(+E59*(1+D52),6)</f>
        <v>6.1274000000000002E-2</v>
      </c>
    </row>
    <row r="64" spans="1:7" ht="16.5" thickBot="1"/>
    <row r="65" spans="1:15" s="127" customFormat="1" ht="58.5" thickBot="1">
      <c r="A65" s="120" t="s">
        <v>187</v>
      </c>
      <c r="B65" s="121"/>
      <c r="C65" s="122" t="s">
        <v>188</v>
      </c>
      <c r="D65" s="122" t="s">
        <v>189</v>
      </c>
      <c r="E65" s="122" t="s">
        <v>190</v>
      </c>
      <c r="F65" s="122"/>
      <c r="G65" s="123" t="s">
        <v>191</v>
      </c>
      <c r="H65" s="123" t="s">
        <v>361</v>
      </c>
      <c r="I65" s="122"/>
      <c r="J65" s="123" t="s">
        <v>362</v>
      </c>
      <c r="K65" s="124"/>
      <c r="L65" s="123" t="s">
        <v>363</v>
      </c>
      <c r="M65" s="125" t="s">
        <v>364</v>
      </c>
      <c r="N65" s="126"/>
      <c r="O65" s="126"/>
    </row>
    <row r="66" spans="1:15">
      <c r="A66" s="128" t="s">
        <v>387</v>
      </c>
      <c r="B66" s="63"/>
      <c r="C66" s="129">
        <f>ROUND($E$31*G66,2)</f>
        <v>3.66</v>
      </c>
      <c r="D66" s="129">
        <f>ROUND($E$30*G66,2)</f>
        <v>3.74</v>
      </c>
      <c r="E66" s="129">
        <f>ROUND(H66*G66,2)</f>
        <v>3.98</v>
      </c>
      <c r="F66" s="63"/>
      <c r="G66" s="130">
        <v>0.88980000000000004</v>
      </c>
      <c r="H66" s="129">
        <f>SUM(J66,L66,M66)</f>
        <v>4.4700000000000006</v>
      </c>
      <c r="I66" s="129"/>
      <c r="J66" s="129">
        <v>0.4</v>
      </c>
      <c r="K66" s="129"/>
      <c r="L66" s="129">
        <v>1.1000000000000001</v>
      </c>
      <c r="M66" s="131">
        <v>2.97</v>
      </c>
    </row>
    <row r="67" spans="1:15">
      <c r="A67" s="128" t="s">
        <v>388</v>
      </c>
      <c r="B67" s="63"/>
      <c r="C67" s="129">
        <f t="shared" ref="C67:C79" si="12">ROUND($E$31*G67,2)</f>
        <v>3.69</v>
      </c>
      <c r="D67" s="129">
        <f t="shared" ref="D67:D79" si="13">ROUND($E$30*G67,2)</f>
        <v>3.77</v>
      </c>
      <c r="E67" s="129">
        <f t="shared" ref="E67:E79" si="14">ROUND(H67*G67,2)</f>
        <v>6.68</v>
      </c>
      <c r="F67" s="63"/>
      <c r="G67" s="130">
        <v>0.89859999999999995</v>
      </c>
      <c r="H67" s="129">
        <f t="shared" ref="H67:H79" si="15">SUM(J67,L67,M67)</f>
        <v>7.43</v>
      </c>
      <c r="I67" s="129"/>
      <c r="J67" s="129">
        <v>0.66</v>
      </c>
      <c r="K67" s="129"/>
      <c r="L67" s="129">
        <v>2.5</v>
      </c>
      <c r="M67" s="131">
        <v>4.2699999999999996</v>
      </c>
    </row>
    <row r="68" spans="1:15">
      <c r="A68" s="128" t="s">
        <v>389</v>
      </c>
      <c r="B68" s="63"/>
      <c r="C68" s="129">
        <f t="shared" si="12"/>
        <v>4.1100000000000003</v>
      </c>
      <c r="D68" s="129">
        <f t="shared" si="13"/>
        <v>4.2</v>
      </c>
      <c r="E68" s="129">
        <f t="shared" si="14"/>
        <v>1.5</v>
      </c>
      <c r="F68" s="63"/>
      <c r="G68" s="130">
        <v>1</v>
      </c>
      <c r="H68" s="129">
        <f t="shared" si="15"/>
        <v>1.5</v>
      </c>
      <c r="I68" s="129"/>
      <c r="J68" s="129">
        <v>0</v>
      </c>
      <c r="K68" s="129"/>
      <c r="L68" s="129">
        <v>0.57999999999999996</v>
      </c>
      <c r="M68" s="131">
        <v>0.92</v>
      </c>
    </row>
    <row r="69" spans="1:15">
      <c r="A69" s="128" t="s">
        <v>390</v>
      </c>
      <c r="B69" s="63"/>
      <c r="C69" s="129">
        <f t="shared" si="12"/>
        <v>4.1100000000000003</v>
      </c>
      <c r="D69" s="129">
        <f t="shared" si="13"/>
        <v>4.2</v>
      </c>
      <c r="E69" s="129">
        <f t="shared" si="14"/>
        <v>0.57999999999999996</v>
      </c>
      <c r="F69" s="63"/>
      <c r="G69" s="130">
        <v>1</v>
      </c>
      <c r="H69" s="129">
        <f t="shared" si="15"/>
        <v>0.57999999999999996</v>
      </c>
      <c r="I69" s="129"/>
      <c r="J69" s="129">
        <v>0</v>
      </c>
      <c r="K69" s="129"/>
      <c r="L69" s="129">
        <v>0.22</v>
      </c>
      <c r="M69" s="131">
        <v>0.36</v>
      </c>
    </row>
    <row r="70" spans="1:15">
      <c r="A70" s="128" t="s">
        <v>391</v>
      </c>
      <c r="B70" s="63"/>
      <c r="C70" s="129">
        <f t="shared" si="12"/>
        <v>4.0599999999999996</v>
      </c>
      <c r="D70" s="129">
        <f t="shared" si="13"/>
        <v>4.1399999999999997</v>
      </c>
      <c r="E70" s="129">
        <f t="shared" si="14"/>
        <v>2.77</v>
      </c>
      <c r="F70" s="63"/>
      <c r="G70" s="130">
        <v>0.98680000000000001</v>
      </c>
      <c r="H70" s="129">
        <f t="shared" si="15"/>
        <v>2.81</v>
      </c>
      <c r="I70" s="129"/>
      <c r="J70" s="129">
        <v>0.08</v>
      </c>
      <c r="K70" s="129"/>
      <c r="L70" s="129">
        <v>1.98</v>
      </c>
      <c r="M70" s="131">
        <v>0.75</v>
      </c>
    </row>
    <row r="71" spans="1:15">
      <c r="A71" s="128" t="s">
        <v>392</v>
      </c>
      <c r="B71" s="63"/>
      <c r="C71" s="129">
        <f t="shared" si="12"/>
        <v>4.1100000000000003</v>
      </c>
      <c r="D71" s="129">
        <f t="shared" si="13"/>
        <v>4.2</v>
      </c>
      <c r="E71" s="129">
        <f t="shared" si="14"/>
        <v>0.44</v>
      </c>
      <c r="F71" s="63"/>
      <c r="G71" s="130">
        <v>1</v>
      </c>
      <c r="H71" s="129">
        <f t="shared" si="15"/>
        <v>0.44</v>
      </c>
      <c r="I71" s="129"/>
      <c r="J71" s="129">
        <v>0</v>
      </c>
      <c r="K71" s="129"/>
      <c r="L71" s="129">
        <v>0.25</v>
      </c>
      <c r="M71" s="131">
        <v>0.19</v>
      </c>
    </row>
    <row r="72" spans="1:15">
      <c r="A72" s="128" t="s">
        <v>393</v>
      </c>
      <c r="B72" s="63"/>
      <c r="C72" s="129">
        <f t="shared" si="12"/>
        <v>0</v>
      </c>
      <c r="D72" s="129">
        <f t="shared" si="13"/>
        <v>0</v>
      </c>
      <c r="E72" s="129">
        <f t="shared" si="14"/>
        <v>0</v>
      </c>
      <c r="F72" s="63"/>
      <c r="G72" s="130">
        <v>0</v>
      </c>
      <c r="H72" s="129">
        <f t="shared" si="15"/>
        <v>0</v>
      </c>
      <c r="I72" s="129"/>
      <c r="J72" s="129">
        <v>0</v>
      </c>
      <c r="K72" s="129"/>
      <c r="L72" s="129">
        <v>0</v>
      </c>
      <c r="M72" s="131">
        <v>0</v>
      </c>
    </row>
    <row r="73" spans="1:15">
      <c r="A73" s="128" t="s">
        <v>394</v>
      </c>
      <c r="B73" s="63"/>
      <c r="C73" s="129">
        <f t="shared" si="12"/>
        <v>4.0999999999999996</v>
      </c>
      <c r="D73" s="129">
        <f t="shared" si="13"/>
        <v>4.1900000000000004</v>
      </c>
      <c r="E73" s="129">
        <f t="shared" si="14"/>
        <v>2.58</v>
      </c>
      <c r="F73" s="63"/>
      <c r="G73" s="130">
        <v>0.99770000000000003</v>
      </c>
      <c r="H73" s="129">
        <f t="shared" si="15"/>
        <v>2.59</v>
      </c>
      <c r="I73" s="129"/>
      <c r="J73" s="129">
        <v>0.03</v>
      </c>
      <c r="K73" s="129"/>
      <c r="L73" s="129">
        <v>1.41</v>
      </c>
      <c r="M73" s="131">
        <v>1.1499999999999999</v>
      </c>
    </row>
    <row r="74" spans="1:15">
      <c r="A74" s="128" t="s">
        <v>395</v>
      </c>
      <c r="B74" s="63"/>
      <c r="C74" s="129">
        <f t="shared" si="12"/>
        <v>3.77</v>
      </c>
      <c r="D74" s="129">
        <f t="shared" si="13"/>
        <v>3.85</v>
      </c>
      <c r="E74" s="129">
        <f t="shared" si="14"/>
        <v>5.36</v>
      </c>
      <c r="F74" s="63"/>
      <c r="G74" s="130">
        <v>0.91700000000000004</v>
      </c>
      <c r="H74" s="129">
        <f t="shared" si="15"/>
        <v>5.85</v>
      </c>
      <c r="I74" s="129"/>
      <c r="J74" s="129">
        <v>0.82</v>
      </c>
      <c r="K74" s="129"/>
      <c r="L74" s="129">
        <v>2.46</v>
      </c>
      <c r="M74" s="131">
        <v>2.57</v>
      </c>
    </row>
    <row r="75" spans="1:15">
      <c r="A75" s="128" t="s">
        <v>396</v>
      </c>
      <c r="B75" s="63"/>
      <c r="C75" s="129">
        <f t="shared" si="12"/>
        <v>3.94</v>
      </c>
      <c r="D75" s="129">
        <f t="shared" si="13"/>
        <v>4.03</v>
      </c>
      <c r="E75" s="129">
        <f t="shared" si="14"/>
        <v>1.52</v>
      </c>
      <c r="F75" s="63"/>
      <c r="G75" s="130">
        <v>0.95850000000000002</v>
      </c>
      <c r="H75" s="129">
        <f t="shared" si="15"/>
        <v>1.59</v>
      </c>
      <c r="I75" s="129"/>
      <c r="J75" s="129">
        <v>0.59</v>
      </c>
      <c r="K75" s="129"/>
      <c r="L75" s="129">
        <v>0.44</v>
      </c>
      <c r="M75" s="131">
        <v>0.56000000000000005</v>
      </c>
    </row>
    <row r="76" spans="1:15">
      <c r="A76" s="128" t="s">
        <v>397</v>
      </c>
      <c r="B76" s="63"/>
      <c r="C76" s="129">
        <f t="shared" si="12"/>
        <v>3.9</v>
      </c>
      <c r="D76" s="129">
        <f t="shared" si="13"/>
        <v>3.99</v>
      </c>
      <c r="E76" s="129">
        <f t="shared" si="14"/>
        <v>1.92</v>
      </c>
      <c r="F76" s="63"/>
      <c r="G76" s="130">
        <v>0.94930000000000003</v>
      </c>
      <c r="H76" s="129">
        <f t="shared" si="15"/>
        <v>2.02</v>
      </c>
      <c r="I76" s="129"/>
      <c r="J76" s="129">
        <v>0.71</v>
      </c>
      <c r="K76" s="129"/>
      <c r="L76" s="129">
        <v>0.52</v>
      </c>
      <c r="M76" s="131">
        <v>0.79</v>
      </c>
    </row>
    <row r="77" spans="1:15">
      <c r="A77" s="128" t="s">
        <v>398</v>
      </c>
      <c r="B77" s="63"/>
      <c r="C77" s="129">
        <f t="shared" si="12"/>
        <v>4</v>
      </c>
      <c r="D77" s="129">
        <f t="shared" si="13"/>
        <v>4.09</v>
      </c>
      <c r="E77" s="129">
        <f t="shared" si="14"/>
        <v>0.79</v>
      </c>
      <c r="F77" s="63"/>
      <c r="G77" s="130">
        <v>0.97319999999999995</v>
      </c>
      <c r="H77" s="129">
        <f t="shared" si="15"/>
        <v>0.81</v>
      </c>
      <c r="I77" s="129"/>
      <c r="J77" s="129">
        <v>0.22</v>
      </c>
      <c r="K77" s="129"/>
      <c r="L77" s="129">
        <v>0.28000000000000003</v>
      </c>
      <c r="M77" s="131">
        <v>0.31</v>
      </c>
    </row>
    <row r="78" spans="1:15">
      <c r="A78" s="128" t="s">
        <v>399</v>
      </c>
      <c r="B78" s="63"/>
      <c r="C78" s="129">
        <f t="shared" si="12"/>
        <v>3.88</v>
      </c>
      <c r="D78" s="129">
        <f t="shared" si="13"/>
        <v>3.96</v>
      </c>
      <c r="E78" s="129">
        <f t="shared" si="14"/>
        <v>0.67</v>
      </c>
      <c r="F78" s="63"/>
      <c r="G78" s="130">
        <v>0.94369999999999998</v>
      </c>
      <c r="H78" s="129">
        <f t="shared" si="15"/>
        <v>0.71</v>
      </c>
      <c r="I78" s="129"/>
      <c r="J78" s="129">
        <v>0.56999999999999995</v>
      </c>
      <c r="K78" s="129"/>
      <c r="L78" s="129">
        <v>0.03</v>
      </c>
      <c r="M78" s="131">
        <v>0.11</v>
      </c>
    </row>
    <row r="79" spans="1:15">
      <c r="A79" s="128" t="s">
        <v>400</v>
      </c>
      <c r="B79" s="63"/>
      <c r="C79" s="129">
        <f t="shared" si="12"/>
        <v>4.04</v>
      </c>
      <c r="D79" s="129">
        <f t="shared" si="13"/>
        <v>4.12</v>
      </c>
      <c r="E79" s="129">
        <f t="shared" si="14"/>
        <v>4.41</v>
      </c>
      <c r="F79" s="63"/>
      <c r="G79" s="130">
        <v>0.9819</v>
      </c>
      <c r="H79" s="129">
        <f t="shared" si="15"/>
        <v>4.49</v>
      </c>
      <c r="I79" s="129"/>
      <c r="J79" s="129">
        <v>0.16</v>
      </c>
      <c r="K79" s="129"/>
      <c r="L79" s="129">
        <v>1.96</v>
      </c>
      <c r="M79" s="131">
        <v>2.37</v>
      </c>
    </row>
    <row r="80" spans="1:15">
      <c r="A80" s="132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133"/>
    </row>
    <row r="81" spans="1:13" ht="16.5" thickBot="1">
      <c r="A81" s="134" t="s">
        <v>358</v>
      </c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6"/>
    </row>
  </sheetData>
  <mergeCells count="20">
    <mergeCell ref="L24:N24"/>
    <mergeCell ref="L25:N25"/>
    <mergeCell ref="L26:N26"/>
    <mergeCell ref="L30:N30"/>
    <mergeCell ref="L31:N31"/>
    <mergeCell ref="L43:N43"/>
    <mergeCell ref="L44:N44"/>
    <mergeCell ref="A2:J2"/>
    <mergeCell ref="A3:J3"/>
    <mergeCell ref="A4:J4"/>
    <mergeCell ref="E9:G9"/>
    <mergeCell ref="H9:J9"/>
    <mergeCell ref="L15:N15"/>
    <mergeCell ref="L16:N16"/>
    <mergeCell ref="L17:N17"/>
    <mergeCell ref="L21:N21"/>
    <mergeCell ref="L22:N22"/>
    <mergeCell ref="L35:N35"/>
    <mergeCell ref="L36:N36"/>
    <mergeCell ref="L39:N39"/>
  </mergeCells>
  <printOptions horizontalCentered="1"/>
  <pageMargins left="0.7" right="0.7" top="0.75" bottom="0.71" header="0.3" footer="0.3"/>
  <pageSetup scale="60" fitToHeight="5" orientation="landscape" r:id="rId1"/>
  <headerFooter alignWithMargins="0">
    <oddFooter>&amp;RExhibit No.___(JAP-39)
Page &amp;P of &amp;N</oddFooter>
  </headerFooter>
  <rowBreaks count="1" manualBreakCount="1">
    <brk id="45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1">
    <pageSetUpPr fitToPage="1"/>
  </sheetPr>
  <dimension ref="A1:AN48"/>
  <sheetViews>
    <sheetView zoomScaleNormal="100" zoomScaleSheetLayoutView="80" workbookViewId="0">
      <pane ySplit="10" topLeftCell="A11" activePane="bottomLeft" state="frozen"/>
      <selection sqref="A1:XFD1048576"/>
      <selection pane="bottomLeft" sqref="A1:XFD1048576"/>
    </sheetView>
  </sheetViews>
  <sheetFormatPr defaultColWidth="10.25" defaultRowHeight="15.75"/>
  <cols>
    <col min="1" max="1" width="28.625" style="44" bestFit="1" customWidth="1"/>
    <col min="2" max="2" width="1.375" style="44" bestFit="1" customWidth="1"/>
    <col min="3" max="3" width="11.625" style="44" bestFit="1" customWidth="1"/>
    <col min="4" max="4" width="10.75" style="44" bestFit="1" customWidth="1"/>
    <col min="5" max="5" width="5.375" style="44" bestFit="1" customWidth="1"/>
    <col min="6" max="6" width="11.625" style="44" bestFit="1" customWidth="1"/>
    <col min="7" max="7" width="12.875" style="44" customWidth="1"/>
    <col min="8" max="8" width="2" style="44" bestFit="1" customWidth="1"/>
    <col min="9" max="9" width="14.75" style="44" customWidth="1"/>
    <col min="10" max="10" width="1.625" style="44" customWidth="1"/>
    <col min="11" max="11" width="12.5" style="44" bestFit="1" customWidth="1"/>
    <col min="12" max="12" width="11.625" style="65" bestFit="1" customWidth="1"/>
    <col min="13" max="13" width="6.75" style="65" bestFit="1" customWidth="1"/>
    <col min="14" max="14" width="7.125" style="65" bestFit="1" customWidth="1"/>
    <col min="15" max="17" width="1.375" style="44" bestFit="1" customWidth="1"/>
    <col min="18" max="18" width="14.125" style="44" bestFit="1" customWidth="1"/>
    <col min="19" max="19" width="1.375" style="44" bestFit="1" customWidth="1"/>
    <col min="20" max="20" width="13.25" style="44" bestFit="1" customWidth="1"/>
    <col min="21" max="21" width="13" style="44" bestFit="1" customWidth="1"/>
    <col min="22" max="22" width="12.25" style="44" bestFit="1" customWidth="1"/>
    <col min="23" max="23" width="5.5" style="44" bestFit="1" customWidth="1"/>
    <col min="24" max="24" width="1.375" style="44" bestFit="1" customWidth="1"/>
    <col min="25" max="25" width="10.25" style="44" customWidth="1"/>
    <col min="26" max="26" width="12.125" style="44" customWidth="1"/>
    <col min="27" max="16384" width="10.25" style="44"/>
  </cols>
  <sheetData>
    <row r="1" spans="1:40" ht="18.75">
      <c r="J1" s="139"/>
      <c r="K1" s="63"/>
      <c r="L1" s="64"/>
      <c r="M1" s="64"/>
      <c r="N1" s="64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</row>
    <row r="2" spans="1:40" ht="18.75">
      <c r="A2" s="311" t="s">
        <v>54</v>
      </c>
      <c r="B2" s="311"/>
      <c r="C2" s="311"/>
      <c r="D2" s="311"/>
      <c r="E2" s="311"/>
      <c r="F2" s="311"/>
      <c r="G2" s="311"/>
      <c r="H2" s="311"/>
      <c r="I2" s="311"/>
      <c r="J2" s="139"/>
      <c r="K2" s="63"/>
      <c r="L2" s="64"/>
      <c r="M2" s="64"/>
      <c r="N2" s="64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1:40">
      <c r="A3" s="330" t="str">
        <f>'Exh. JAP-39 (Prof-Prop)'!$B$6</f>
        <v>12 MONTHS ENDED SEPTEMBER 2016</v>
      </c>
      <c r="B3" s="330"/>
      <c r="C3" s="330"/>
      <c r="D3" s="330"/>
      <c r="E3" s="330"/>
      <c r="F3" s="330"/>
      <c r="G3" s="330"/>
      <c r="H3" s="330"/>
      <c r="I3" s="330"/>
      <c r="J3" s="140"/>
      <c r="K3" s="63"/>
      <c r="L3" s="64"/>
      <c r="M3" s="64"/>
      <c r="N3" s="64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</row>
    <row r="4" spans="1:40">
      <c r="A4" s="304" t="s">
        <v>31</v>
      </c>
      <c r="B4" s="304"/>
      <c r="C4" s="304"/>
      <c r="D4" s="304"/>
      <c r="E4" s="304"/>
      <c r="F4" s="304"/>
      <c r="G4" s="304"/>
      <c r="H4" s="304"/>
      <c r="I4" s="304"/>
      <c r="J4" s="45"/>
      <c r="K4" s="63"/>
      <c r="L4" s="64"/>
      <c r="M4" s="64"/>
      <c r="N4" s="64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</row>
    <row r="5" spans="1:40">
      <c r="A5" s="46" t="s">
        <v>192</v>
      </c>
      <c r="B5" s="141"/>
      <c r="C5" s="141"/>
      <c r="D5" s="142"/>
      <c r="E5" s="142"/>
      <c r="F5" s="141"/>
      <c r="G5" s="142"/>
      <c r="H5" s="141"/>
      <c r="I5" s="141"/>
      <c r="J5" s="141"/>
      <c r="K5" s="63"/>
      <c r="L5" s="64"/>
      <c r="M5" s="64"/>
      <c r="N5" s="64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</row>
    <row r="6" spans="1:40">
      <c r="A6" s="46"/>
      <c r="B6" s="141"/>
      <c r="C6" s="141"/>
      <c r="D6" s="142"/>
      <c r="E6" s="142"/>
      <c r="F6" s="141"/>
      <c r="G6" s="142"/>
      <c r="H6" s="141"/>
      <c r="I6" s="141"/>
      <c r="J6" s="141"/>
      <c r="K6" s="63"/>
      <c r="L6" s="64"/>
      <c r="M6" s="64"/>
      <c r="N6" s="64"/>
      <c r="O6" s="64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</row>
    <row r="7" spans="1:40">
      <c r="A7" s="141"/>
      <c r="B7" s="141"/>
      <c r="C7" s="141"/>
      <c r="D7" s="142"/>
      <c r="E7" s="142"/>
      <c r="F7" s="141"/>
      <c r="G7" s="142"/>
      <c r="H7" s="141"/>
      <c r="I7" s="141"/>
      <c r="J7" s="141"/>
      <c r="K7" s="63"/>
      <c r="L7" s="64"/>
      <c r="M7" s="64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</row>
    <row r="8" spans="1:40">
      <c r="A8" s="48"/>
      <c r="B8" s="48"/>
      <c r="C8" s="47"/>
      <c r="D8" s="48"/>
      <c r="E8" s="48"/>
      <c r="G8" s="48"/>
      <c r="H8" s="49"/>
      <c r="I8" s="49"/>
      <c r="J8" s="49"/>
      <c r="K8" s="63"/>
      <c r="L8" s="64"/>
      <c r="M8" s="64"/>
      <c r="N8" s="64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</row>
    <row r="9" spans="1:40">
      <c r="A9" s="48"/>
      <c r="B9" s="48"/>
      <c r="C9" s="47" t="s">
        <v>32</v>
      </c>
      <c r="D9" s="305" t="s">
        <v>3</v>
      </c>
      <c r="E9" s="306"/>
      <c r="F9" s="307"/>
      <c r="G9" s="308" t="str">
        <f>'Exh. JAP-39 (Res RD)'!$G$9</f>
        <v>Proposed Effective December 2017</v>
      </c>
      <c r="H9" s="306"/>
      <c r="I9" s="307"/>
      <c r="J9" s="49"/>
      <c r="K9" s="63"/>
      <c r="L9" s="64"/>
      <c r="M9" s="64"/>
      <c r="N9" s="64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</row>
    <row r="10" spans="1:40">
      <c r="A10" s="48"/>
      <c r="B10" s="48"/>
      <c r="C10" s="51" t="s">
        <v>33</v>
      </c>
      <c r="D10" s="52" t="s">
        <v>34</v>
      </c>
      <c r="E10" s="53"/>
      <c r="F10" s="49" t="s">
        <v>35</v>
      </c>
      <c r="G10" s="52" t="s">
        <v>34</v>
      </c>
      <c r="H10" s="52"/>
      <c r="I10" s="52" t="s">
        <v>35</v>
      </c>
      <c r="J10" s="52"/>
      <c r="K10" s="63"/>
      <c r="L10" s="64"/>
      <c r="M10" s="64"/>
      <c r="N10" s="64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</row>
    <row r="11" spans="1:40">
      <c r="C11" s="55"/>
      <c r="D11" s="54" t="s">
        <v>0</v>
      </c>
      <c r="E11" s="55"/>
      <c r="F11" s="57"/>
      <c r="G11" s="54" t="s">
        <v>0</v>
      </c>
      <c r="H11" s="55"/>
      <c r="I11" s="57" t="s">
        <v>0</v>
      </c>
      <c r="J11" s="57"/>
      <c r="K11" s="63"/>
      <c r="L11" s="64"/>
      <c r="M11" s="64"/>
      <c r="N11" s="64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G11" s="66"/>
    </row>
    <row r="12" spans="1:40">
      <c r="A12" s="67" t="s">
        <v>193</v>
      </c>
      <c r="B12" s="54"/>
      <c r="C12" s="54" t="s">
        <v>0</v>
      </c>
      <c r="D12" s="57"/>
      <c r="E12" s="54"/>
      <c r="F12" s="54"/>
      <c r="G12" s="57"/>
      <c r="H12" s="54"/>
      <c r="I12" s="54"/>
      <c r="J12" s="54"/>
      <c r="K12" s="63"/>
      <c r="L12" s="64"/>
      <c r="M12" s="64"/>
      <c r="N12" s="64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G12" s="66"/>
    </row>
    <row r="13" spans="1:40">
      <c r="A13" s="67" t="s">
        <v>63</v>
      </c>
      <c r="B13" s="54"/>
      <c r="C13" s="54"/>
      <c r="D13" s="57"/>
      <c r="E13" s="54"/>
      <c r="F13" s="54"/>
      <c r="G13" s="57"/>
      <c r="H13" s="54"/>
      <c r="I13" s="54"/>
      <c r="J13" s="54"/>
      <c r="K13" s="63"/>
      <c r="L13" s="64"/>
      <c r="M13" s="64"/>
      <c r="N13" s="64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G13" s="66"/>
    </row>
    <row r="14" spans="1:40">
      <c r="A14" s="67" t="s">
        <v>194</v>
      </c>
      <c r="B14" s="54"/>
      <c r="C14" s="55">
        <v>60</v>
      </c>
      <c r="D14" s="73"/>
      <c r="E14" s="54"/>
      <c r="F14" s="57"/>
      <c r="G14" s="73"/>
      <c r="H14" s="54"/>
      <c r="I14" s="57"/>
      <c r="J14" s="54"/>
      <c r="M14" s="70"/>
      <c r="N14" s="70"/>
      <c r="P14" s="66"/>
      <c r="Q14" s="71"/>
      <c r="R14" s="66"/>
      <c r="S14" s="71"/>
      <c r="T14" s="66"/>
      <c r="U14" s="66"/>
      <c r="V14" s="71"/>
      <c r="W14" s="72"/>
      <c r="X14" s="66"/>
      <c r="Y14" s="66"/>
      <c r="AG14" s="63"/>
      <c r="AH14" s="63"/>
      <c r="AI14" s="63"/>
      <c r="AJ14" s="63"/>
      <c r="AK14" s="63"/>
      <c r="AL14" s="63"/>
      <c r="AN14" s="66"/>
    </row>
    <row r="15" spans="1:40">
      <c r="A15" s="54" t="s">
        <v>97</v>
      </c>
      <c r="B15" s="54"/>
      <c r="C15" s="55"/>
      <c r="D15" s="73"/>
      <c r="E15" s="54"/>
      <c r="F15" s="57"/>
      <c r="G15" s="73"/>
      <c r="H15" s="54"/>
      <c r="I15" s="57"/>
      <c r="J15" s="54"/>
      <c r="M15" s="70"/>
      <c r="N15" s="70"/>
      <c r="P15" s="66"/>
      <c r="Q15" s="71"/>
      <c r="R15" s="66"/>
      <c r="S15" s="71"/>
      <c r="T15" s="66"/>
      <c r="U15" s="66"/>
      <c r="V15" s="71"/>
      <c r="W15" s="72"/>
      <c r="X15" s="66"/>
      <c r="Y15" s="66"/>
      <c r="AG15" s="63"/>
      <c r="AH15" s="63"/>
      <c r="AI15" s="63"/>
      <c r="AJ15" s="63"/>
      <c r="AK15" s="63"/>
      <c r="AL15" s="63"/>
      <c r="AN15" s="66"/>
    </row>
    <row r="16" spans="1:40">
      <c r="A16" s="74" t="s">
        <v>52</v>
      </c>
      <c r="B16" s="54"/>
      <c r="C16" s="55">
        <v>63736317.697999991</v>
      </c>
      <c r="D16" s="73">
        <f>'Exh. JAP-39 (Tariff)'!E154</f>
        <v>5.4413000000000003E-2</v>
      </c>
      <c r="E16" s="54"/>
      <c r="F16" s="57">
        <f t="shared" ref="F16" si="0">ROUND(D16*$C16,0)</f>
        <v>3468084</v>
      </c>
      <c r="G16" s="73">
        <f>G32</f>
        <v>5.7735999999999996E-2</v>
      </c>
      <c r="H16" s="54"/>
      <c r="I16" s="57">
        <f t="shared" ref="I16" si="1">ROUND(G16*$C16,0)</f>
        <v>3679880</v>
      </c>
      <c r="J16" s="69"/>
      <c r="K16" s="310" t="s">
        <v>199</v>
      </c>
      <c r="L16" s="310"/>
      <c r="M16" s="310"/>
      <c r="N16" s="70"/>
      <c r="O16" s="65"/>
      <c r="X16" s="63"/>
      <c r="Y16" s="63"/>
      <c r="Z16" s="63"/>
      <c r="AA16" s="63"/>
      <c r="AB16" s="63"/>
      <c r="AC16" s="63"/>
      <c r="AD16" s="63"/>
      <c r="AE16" s="63"/>
      <c r="AG16" s="66"/>
    </row>
    <row r="17" spans="1:33">
      <c r="A17" s="74" t="s">
        <v>83</v>
      </c>
      <c r="B17" s="75"/>
      <c r="C17" s="55">
        <v>0</v>
      </c>
      <c r="D17" s="73">
        <f>D16</f>
        <v>5.4413000000000003E-2</v>
      </c>
      <c r="E17" s="73"/>
      <c r="F17" s="57">
        <f t="shared" ref="F17:F18" si="2">ROUND(D17*$C17,0)</f>
        <v>0</v>
      </c>
      <c r="G17" s="73">
        <f>G16</f>
        <v>5.7735999999999996E-2</v>
      </c>
      <c r="H17" s="54"/>
      <c r="I17" s="57">
        <f t="shared" ref="I17:I18" si="3">ROUND(G17*$C17,0)</f>
        <v>0</v>
      </c>
      <c r="J17" s="69"/>
      <c r="X17" s="63"/>
      <c r="Y17" s="63"/>
      <c r="Z17" s="63"/>
      <c r="AA17" s="63"/>
      <c r="AB17" s="63"/>
      <c r="AC17" s="63"/>
      <c r="AD17" s="63"/>
      <c r="AE17" s="63"/>
      <c r="AG17" s="66"/>
    </row>
    <row r="18" spans="1:33">
      <c r="A18" s="76" t="s">
        <v>88</v>
      </c>
      <c r="B18" s="77"/>
      <c r="C18" s="78">
        <v>539040</v>
      </c>
      <c r="D18" s="73">
        <f>ROUND(SUM(F16:F17,F21)/SUM(C16:C17),6)</f>
        <v>6.5379999999999994E-2</v>
      </c>
      <c r="E18" s="54"/>
      <c r="F18" s="79">
        <f t="shared" si="2"/>
        <v>35242</v>
      </c>
      <c r="G18" s="73">
        <f>ROUND(SUM(I16:I17,I21)/SUM(C16:C17),6)</f>
        <v>6.9386000000000003E-2</v>
      </c>
      <c r="H18" s="54"/>
      <c r="I18" s="79">
        <f t="shared" si="3"/>
        <v>37402</v>
      </c>
      <c r="J18" s="69"/>
      <c r="K18" s="310" t="s">
        <v>100</v>
      </c>
      <c r="L18" s="310"/>
      <c r="M18" s="310"/>
      <c r="N18" s="72"/>
      <c r="X18" s="63"/>
      <c r="Y18" s="63"/>
      <c r="Z18" s="63"/>
      <c r="AA18" s="63"/>
      <c r="AB18" s="63"/>
      <c r="AC18" s="63"/>
      <c r="AD18" s="63"/>
      <c r="AE18" s="63"/>
      <c r="AG18" s="66"/>
    </row>
    <row r="19" spans="1:33">
      <c r="A19" s="80" t="s">
        <v>36</v>
      </c>
      <c r="B19" s="77"/>
      <c r="C19" s="81">
        <f>SUM(C16:C18)</f>
        <v>64275357.697999991</v>
      </c>
      <c r="D19" s="73"/>
      <c r="E19" s="54"/>
      <c r="F19" s="57">
        <f>SUM(F16:F18)</f>
        <v>3503326</v>
      </c>
      <c r="G19" s="73"/>
      <c r="H19" s="54"/>
      <c r="I19" s="57">
        <f>SUM(I16:I18)</f>
        <v>3717282</v>
      </c>
      <c r="J19" s="69"/>
      <c r="M19" s="72"/>
      <c r="N19" s="72"/>
      <c r="X19" s="63"/>
      <c r="Y19" s="63"/>
      <c r="Z19" s="63"/>
      <c r="AA19" s="63"/>
      <c r="AB19" s="63"/>
      <c r="AC19" s="63"/>
      <c r="AD19" s="63"/>
      <c r="AE19" s="63"/>
      <c r="AG19" s="66"/>
    </row>
    <row r="20" spans="1:33">
      <c r="A20" s="80"/>
      <c r="B20" s="77"/>
      <c r="C20" s="81"/>
      <c r="D20" s="73"/>
      <c r="E20" s="54"/>
      <c r="F20" s="57"/>
      <c r="G20" s="73"/>
      <c r="H20" s="54"/>
      <c r="I20" s="57"/>
      <c r="J20" s="69"/>
      <c r="M20" s="72"/>
      <c r="N20" s="72"/>
      <c r="X20" s="63"/>
      <c r="Y20" s="63"/>
      <c r="Z20" s="63"/>
      <c r="AA20" s="63"/>
      <c r="AB20" s="63"/>
      <c r="AC20" s="63"/>
      <c r="AD20" s="63"/>
      <c r="AE20" s="63"/>
      <c r="AG20" s="66"/>
    </row>
    <row r="21" spans="1:33">
      <c r="A21" s="67" t="s">
        <v>195</v>
      </c>
      <c r="B21" s="54"/>
      <c r="C21" s="55">
        <v>334461</v>
      </c>
      <c r="D21" s="68">
        <f>'Exh. JAP-39 (Tariff)'!E156</f>
        <v>2.09</v>
      </c>
      <c r="E21" s="54"/>
      <c r="F21" s="57">
        <f t="shared" ref="F21" si="4">ROUND(D21*$C21,0)</f>
        <v>699023</v>
      </c>
      <c r="G21" s="68">
        <f>ROUND(D21*(1+$M$39),2)</f>
        <v>2.2200000000000002</v>
      </c>
      <c r="H21" s="54"/>
      <c r="I21" s="57">
        <f t="shared" ref="I21" si="5">ROUND(G21*$C21,0)</f>
        <v>742503</v>
      </c>
      <c r="J21" s="69"/>
      <c r="K21" s="310" t="s">
        <v>100</v>
      </c>
      <c r="L21" s="310"/>
      <c r="M21" s="310"/>
      <c r="N21" s="70"/>
      <c r="O21" s="65"/>
      <c r="X21" s="63"/>
      <c r="Y21" s="63"/>
      <c r="Z21" s="63"/>
      <c r="AA21" s="63"/>
      <c r="AB21" s="63"/>
      <c r="AC21" s="63"/>
      <c r="AD21" s="63"/>
      <c r="AE21" s="63"/>
      <c r="AG21" s="66"/>
    </row>
    <row r="22" spans="1:33">
      <c r="A22" s="76"/>
      <c r="B22" s="77"/>
      <c r="C22" s="81"/>
      <c r="D22" s="73"/>
      <c r="E22" s="54"/>
      <c r="F22" s="57"/>
      <c r="G22" s="73"/>
      <c r="H22" s="54"/>
      <c r="I22" s="57"/>
      <c r="J22" s="69"/>
      <c r="M22" s="72"/>
      <c r="N22" s="72"/>
      <c r="X22" s="63"/>
      <c r="Y22" s="63"/>
      <c r="Z22" s="63"/>
      <c r="AA22" s="63"/>
      <c r="AB22" s="63"/>
      <c r="AC22" s="63"/>
      <c r="AD22" s="63"/>
      <c r="AE22" s="63"/>
      <c r="AG22" s="66"/>
    </row>
    <row r="23" spans="1:33" ht="16.5" thickBot="1">
      <c r="A23" s="54" t="s">
        <v>40</v>
      </c>
      <c r="B23" s="54"/>
      <c r="C23" s="81"/>
      <c r="D23" s="83"/>
      <c r="E23" s="84"/>
      <c r="F23" s="62">
        <f>SUM(F21,F19)</f>
        <v>4202349</v>
      </c>
      <c r="G23" s="83"/>
      <c r="H23" s="84"/>
      <c r="I23" s="62">
        <f>SUM(I21,I19)</f>
        <v>4459785</v>
      </c>
      <c r="J23" s="89"/>
      <c r="M23" s="72"/>
      <c r="N23" s="85"/>
      <c r="O23" s="86" t="s">
        <v>0</v>
      </c>
      <c r="X23" s="63"/>
      <c r="Y23" s="63"/>
      <c r="Z23" s="63"/>
      <c r="AA23" s="63"/>
      <c r="AB23" s="63"/>
      <c r="AC23" s="63"/>
      <c r="AD23" s="63"/>
      <c r="AE23" s="63"/>
      <c r="AG23" s="66"/>
    </row>
    <row r="24" spans="1:33" ht="16.5" thickTop="1">
      <c r="A24" s="54"/>
      <c r="B24" s="54"/>
      <c r="C24" s="81"/>
      <c r="D24" s="83"/>
      <c r="E24" s="84"/>
      <c r="F24" s="69"/>
      <c r="G24" s="87"/>
      <c r="H24" s="84"/>
      <c r="I24" s="69"/>
      <c r="J24" s="69"/>
      <c r="M24" s="72"/>
      <c r="N24" s="85"/>
      <c r="O24" s="86"/>
      <c r="X24" s="63"/>
      <c r="Y24" s="63"/>
      <c r="Z24" s="63"/>
      <c r="AA24" s="63"/>
      <c r="AB24" s="63"/>
      <c r="AC24" s="63"/>
      <c r="AD24" s="63"/>
      <c r="AE24" s="63"/>
      <c r="AG24" s="66"/>
    </row>
    <row r="25" spans="1:33">
      <c r="A25" s="67" t="s">
        <v>196</v>
      </c>
      <c r="C25" s="331">
        <v>0.9</v>
      </c>
      <c r="D25" s="73">
        <f>+D16*C25</f>
        <v>4.8971700000000007E-2</v>
      </c>
      <c r="E25" s="11">
        <f>+E12*C25</f>
        <v>0</v>
      </c>
      <c r="F25" s="69"/>
      <c r="G25" s="73">
        <f>ROUND(+G16*C25,6)</f>
        <v>5.1962000000000001E-2</v>
      </c>
      <c r="H25" s="84"/>
      <c r="I25" s="69"/>
      <c r="J25" s="69"/>
      <c r="M25" s="72"/>
      <c r="N25" s="85"/>
      <c r="O25" s="86"/>
      <c r="X25" s="63"/>
      <c r="Y25" s="63"/>
      <c r="Z25" s="63"/>
      <c r="AA25" s="63"/>
      <c r="AB25" s="63"/>
      <c r="AC25" s="63"/>
      <c r="AD25" s="63"/>
      <c r="AE25" s="63"/>
      <c r="AG25" s="66"/>
    </row>
    <row r="26" spans="1:33">
      <c r="A26" s="67" t="s">
        <v>197</v>
      </c>
      <c r="C26" s="224">
        <v>12</v>
      </c>
      <c r="D26" s="68">
        <f>+C26*D21</f>
        <v>25.08</v>
      </c>
      <c r="E26" s="332">
        <f>+C26*E14</f>
        <v>0</v>
      </c>
      <c r="F26" s="57"/>
      <c r="G26" s="68">
        <f>ROUND(+C26*G21,2)</f>
        <v>26.64</v>
      </c>
      <c r="H26" s="54"/>
      <c r="X26" s="63"/>
      <c r="Y26" s="63"/>
      <c r="Z26" s="63"/>
      <c r="AA26" s="63"/>
      <c r="AB26" s="63"/>
      <c r="AC26" s="63"/>
      <c r="AD26" s="63"/>
      <c r="AE26" s="63"/>
      <c r="AG26" s="66"/>
    </row>
    <row r="27" spans="1:33">
      <c r="A27" s="54"/>
      <c r="B27" s="54"/>
      <c r="C27" s="55"/>
      <c r="D27" s="56" t="s">
        <v>0</v>
      </c>
      <c r="E27" s="54"/>
      <c r="F27" s="57"/>
      <c r="G27" s="56" t="s">
        <v>0</v>
      </c>
      <c r="H27" s="54"/>
      <c r="I27" s="57" t="s">
        <v>0</v>
      </c>
      <c r="J27" s="57"/>
      <c r="K27" s="63"/>
      <c r="L27" s="64"/>
      <c r="M27" s="64"/>
      <c r="N27" s="64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</row>
    <row r="28" spans="1:33">
      <c r="A28" s="67" t="s">
        <v>198</v>
      </c>
      <c r="B28" s="54"/>
      <c r="C28" s="54" t="s">
        <v>0</v>
      </c>
      <c r="D28" s="57"/>
      <c r="E28" s="54"/>
      <c r="F28" s="54"/>
      <c r="G28" s="57"/>
      <c r="H28" s="54"/>
      <c r="I28" s="54"/>
      <c r="J28" s="54"/>
      <c r="K28" s="63"/>
      <c r="L28" s="64"/>
      <c r="M28" s="64"/>
      <c r="N28" s="64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</row>
    <row r="29" spans="1:33">
      <c r="A29" s="67" t="s">
        <v>64</v>
      </c>
      <c r="B29" s="54"/>
      <c r="C29" s="54"/>
      <c r="D29" s="57"/>
      <c r="E29" s="54"/>
      <c r="F29" s="54"/>
      <c r="G29" s="57"/>
      <c r="H29" s="54"/>
      <c r="I29" s="54"/>
      <c r="J29" s="54"/>
      <c r="K29" s="63"/>
      <c r="L29" s="64"/>
      <c r="M29" s="64"/>
      <c r="N29" s="64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</row>
    <row r="30" spans="1:33">
      <c r="A30" s="67" t="s">
        <v>194</v>
      </c>
      <c r="B30" s="54"/>
      <c r="C30" s="55">
        <v>240</v>
      </c>
      <c r="D30" s="73"/>
      <c r="E30" s="54"/>
      <c r="F30" s="57"/>
      <c r="G30" s="73"/>
      <c r="H30" s="54"/>
      <c r="I30" s="57"/>
      <c r="J30" s="54"/>
      <c r="M30" s="64"/>
      <c r="N30" s="64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</row>
    <row r="31" spans="1:33">
      <c r="A31" s="54" t="s">
        <v>97</v>
      </c>
      <c r="B31" s="54"/>
      <c r="C31" s="55"/>
      <c r="D31" s="73"/>
      <c r="E31" s="54"/>
      <c r="F31" s="57"/>
      <c r="G31" s="73"/>
      <c r="H31" s="54"/>
      <c r="I31" s="57"/>
      <c r="J31" s="54"/>
      <c r="M31" s="64"/>
      <c r="N31" s="64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</row>
    <row r="32" spans="1:33">
      <c r="A32" s="74" t="s">
        <v>52</v>
      </c>
      <c r="B32" s="54"/>
      <c r="C32" s="55">
        <v>565213426</v>
      </c>
      <c r="D32" s="73">
        <f>'Exh. JAP-39 (Tariff)'!E162</f>
        <v>5.4413000000000003E-2</v>
      </c>
      <c r="E32" s="54"/>
      <c r="F32" s="57">
        <f t="shared" ref="F32:F34" si="6">ROUND(D32*$C32,0)</f>
        <v>30754958</v>
      </c>
      <c r="G32" s="73">
        <f>ROUND(D32*(1+$M$39),6)-0.000008</f>
        <v>5.7735999999999996E-2</v>
      </c>
      <c r="H32" s="54"/>
      <c r="I32" s="57">
        <f t="shared" ref="I32:I34" si="7">ROUND(G32*$C32,0)</f>
        <v>32633162</v>
      </c>
      <c r="J32" s="69"/>
      <c r="K32" s="310" t="s">
        <v>100</v>
      </c>
      <c r="L32" s="310"/>
      <c r="M32" s="310"/>
      <c r="N32" s="64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</row>
    <row r="33" spans="1:31">
      <c r="A33" s="74" t="s">
        <v>83</v>
      </c>
      <c r="B33" s="75"/>
      <c r="C33" s="55">
        <v>0</v>
      </c>
      <c r="D33" s="73">
        <f>D32</f>
        <v>5.4413000000000003E-2</v>
      </c>
      <c r="E33" s="73"/>
      <c r="F33" s="57">
        <f t="shared" si="6"/>
        <v>0</v>
      </c>
      <c r="G33" s="73">
        <f>G32</f>
        <v>5.7735999999999996E-2</v>
      </c>
      <c r="H33" s="54"/>
      <c r="I33" s="57">
        <f t="shared" si="7"/>
        <v>0</v>
      </c>
      <c r="J33" s="69"/>
      <c r="M33" s="64"/>
      <c r="N33" s="64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</row>
    <row r="34" spans="1:31">
      <c r="A34" s="76" t="s">
        <v>88</v>
      </c>
      <c r="B34" s="77"/>
      <c r="C34" s="78">
        <v>2770433</v>
      </c>
      <c r="D34" s="73">
        <f>ROUND(SUM(F32:F33,F37)/SUM(C32:C33),6)</f>
        <v>6.3659999999999994E-2</v>
      </c>
      <c r="E34" s="54"/>
      <c r="F34" s="79">
        <f t="shared" si="6"/>
        <v>176366</v>
      </c>
      <c r="G34" s="73">
        <f>ROUND(SUM(I32:I33,I37)/SUM(C32:C33),6)</f>
        <v>6.7558000000000007E-2</v>
      </c>
      <c r="H34" s="54"/>
      <c r="I34" s="79">
        <f t="shared" si="7"/>
        <v>187165</v>
      </c>
      <c r="J34" s="69"/>
      <c r="K34" s="310" t="s">
        <v>100</v>
      </c>
      <c r="L34" s="310"/>
      <c r="M34" s="310"/>
      <c r="N34" s="64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</row>
    <row r="35" spans="1:31">
      <c r="A35" s="80" t="s">
        <v>36</v>
      </c>
      <c r="B35" s="77"/>
      <c r="C35" s="81">
        <f>SUM(C32:C34)</f>
        <v>567983859</v>
      </c>
      <c r="D35" s="73"/>
      <c r="E35" s="54"/>
      <c r="F35" s="57">
        <f>SUM(F32:F34)</f>
        <v>30931324</v>
      </c>
      <c r="G35" s="73"/>
      <c r="H35" s="54"/>
      <c r="I35" s="57">
        <f>SUM(I32:I34)</f>
        <v>32820327</v>
      </c>
      <c r="J35" s="69"/>
      <c r="K35" s="310"/>
      <c r="L35" s="310"/>
      <c r="M35" s="310"/>
      <c r="N35" s="64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</row>
    <row r="36" spans="1:31">
      <c r="A36" s="80"/>
      <c r="B36" s="77"/>
      <c r="C36" s="81"/>
      <c r="D36" s="73"/>
      <c r="E36" s="54"/>
      <c r="F36" s="57"/>
      <c r="G36" s="73"/>
      <c r="H36" s="54"/>
      <c r="I36" s="57"/>
      <c r="J36" s="69"/>
      <c r="M36" s="64"/>
      <c r="N36" s="64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</row>
    <row r="37" spans="1:31">
      <c r="A37" s="67" t="s">
        <v>195</v>
      </c>
      <c r="B37" s="54"/>
      <c r="C37" s="55">
        <v>1412545</v>
      </c>
      <c r="D37" s="68">
        <f>'Exh. JAP-39 (Tariff)'!E164</f>
        <v>3.7</v>
      </c>
      <c r="E37" s="54"/>
      <c r="F37" s="57">
        <f t="shared" ref="F37" si="8">ROUND(D37*$C37,0)</f>
        <v>5226417</v>
      </c>
      <c r="G37" s="68">
        <f>ROUND(D37*(1+$M$39),2)</f>
        <v>3.93</v>
      </c>
      <c r="H37" s="54"/>
      <c r="I37" s="57">
        <f>ROUND(G37*$C37,0)</f>
        <v>5551302</v>
      </c>
      <c r="J37" s="69"/>
      <c r="K37" s="310" t="s">
        <v>100</v>
      </c>
      <c r="L37" s="310"/>
      <c r="M37" s="310"/>
      <c r="N37" s="64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</row>
    <row r="38" spans="1:31">
      <c r="A38" s="76"/>
      <c r="B38" s="77"/>
      <c r="C38" s="81"/>
      <c r="D38" s="73"/>
      <c r="E38" s="54"/>
      <c r="F38" s="57"/>
      <c r="G38" s="73"/>
      <c r="H38" s="54"/>
      <c r="I38" s="57"/>
      <c r="J38" s="69"/>
      <c r="M38" s="64"/>
      <c r="N38" s="64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</row>
    <row r="39" spans="1:31" ht="16.5" thickBot="1">
      <c r="A39" s="54" t="s">
        <v>40</v>
      </c>
      <c r="B39" s="54"/>
      <c r="C39" s="81"/>
      <c r="D39" s="83"/>
      <c r="E39" s="84"/>
      <c r="F39" s="62">
        <f>SUM(F37,F35)</f>
        <v>36157741</v>
      </c>
      <c r="G39" s="83"/>
      <c r="H39" s="84"/>
      <c r="I39" s="62">
        <f>SUM(I37,I35)</f>
        <v>38371629</v>
      </c>
      <c r="J39" s="89"/>
      <c r="K39" s="90" t="s">
        <v>38</v>
      </c>
      <c r="L39" s="91">
        <f>'Exh. JAP-39 (Rate Spread)'!K23*1000</f>
        <v>42831181.618365452</v>
      </c>
      <c r="M39" s="92">
        <f>L39/SUM(F23,F39)-1</f>
        <v>6.1226117641597133E-2</v>
      </c>
      <c r="N39" s="64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</row>
    <row r="40" spans="1:31" ht="16.5" thickTop="1">
      <c r="A40" s="54"/>
      <c r="B40" s="54"/>
      <c r="C40" s="55"/>
      <c r="D40" s="93"/>
      <c r="E40" s="54"/>
      <c r="F40" s="57"/>
      <c r="G40" s="93"/>
      <c r="H40" s="54"/>
      <c r="I40" s="57"/>
      <c r="J40" s="57"/>
      <c r="K40" s="94" t="s">
        <v>39</v>
      </c>
      <c r="L40" s="95">
        <f>L39-I39-I23</f>
        <v>-232.38163454830647</v>
      </c>
      <c r="M40" s="96" t="s">
        <v>0</v>
      </c>
      <c r="N40" s="64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</row>
    <row r="41" spans="1:31">
      <c r="A41" s="74"/>
      <c r="B41" s="54"/>
      <c r="C41" s="55"/>
      <c r="D41" s="68"/>
      <c r="E41" s="54"/>
      <c r="F41" s="57"/>
      <c r="G41" s="68"/>
      <c r="H41" s="54"/>
      <c r="I41" s="57"/>
      <c r="J41" s="57"/>
      <c r="K41" s="63"/>
      <c r="L41" s="64"/>
      <c r="M41" s="64"/>
      <c r="N41" s="64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</row>
    <row r="42" spans="1:31">
      <c r="A42" s="74"/>
      <c r="B42" s="54"/>
      <c r="C42" s="55"/>
      <c r="D42" s="68"/>
      <c r="E42" s="54"/>
      <c r="F42" s="57"/>
      <c r="G42" s="68"/>
      <c r="H42" s="54"/>
      <c r="I42" s="57"/>
      <c r="J42" s="57"/>
      <c r="K42" s="63"/>
      <c r="L42" s="64"/>
      <c r="M42" s="64"/>
      <c r="N42" s="64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</row>
    <row r="43" spans="1:31">
      <c r="A43" s="80"/>
      <c r="B43" s="54"/>
      <c r="C43" s="55"/>
      <c r="D43" s="68"/>
      <c r="E43" s="54"/>
      <c r="F43" s="57"/>
      <c r="G43" s="68"/>
      <c r="H43" s="54"/>
      <c r="I43" s="57"/>
      <c r="J43" s="57"/>
      <c r="K43" s="63"/>
      <c r="L43" s="64"/>
      <c r="M43" s="64"/>
      <c r="N43" s="64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</row>
    <row r="44" spans="1:31">
      <c r="A44" s="54"/>
      <c r="B44" s="54"/>
      <c r="C44" s="55"/>
      <c r="D44" s="68"/>
      <c r="E44" s="54"/>
      <c r="F44" s="57"/>
      <c r="G44" s="68"/>
      <c r="H44" s="54"/>
      <c r="I44" s="57"/>
      <c r="J44" s="69"/>
      <c r="K44" s="150"/>
      <c r="L44" s="151"/>
      <c r="M44" s="64"/>
      <c r="N44" s="64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</row>
    <row r="45" spans="1:31">
      <c r="A45" s="54"/>
      <c r="B45" s="54"/>
      <c r="C45" s="55"/>
      <c r="D45" s="68"/>
      <c r="E45" s="54"/>
      <c r="F45" s="57"/>
      <c r="G45" s="68"/>
      <c r="H45" s="54"/>
      <c r="I45" s="57"/>
      <c r="J45" s="69"/>
      <c r="K45" s="150"/>
      <c r="L45" s="151"/>
      <c r="M45" s="64"/>
      <c r="N45" s="64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</row>
    <row r="46" spans="1:31">
      <c r="A46" s="54"/>
      <c r="B46" s="54"/>
      <c r="C46" s="55"/>
      <c r="D46" s="68"/>
      <c r="E46" s="54"/>
      <c r="F46" s="57"/>
      <c r="G46" s="68"/>
      <c r="H46" s="54"/>
      <c r="I46" s="57"/>
      <c r="J46" s="69"/>
      <c r="K46" s="150"/>
      <c r="L46" s="151"/>
      <c r="M46" s="64"/>
      <c r="N46" s="64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</row>
    <row r="47" spans="1:31">
      <c r="A47" s="54"/>
      <c r="B47" s="54"/>
      <c r="C47" s="55"/>
      <c r="D47" s="68"/>
      <c r="E47" s="54"/>
      <c r="F47" s="57"/>
      <c r="G47" s="68"/>
      <c r="H47" s="54"/>
      <c r="I47" s="57"/>
      <c r="J47" s="69"/>
      <c r="L47" s="44"/>
      <c r="M47" s="44"/>
      <c r="N47" s="64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</row>
    <row r="48" spans="1:31">
      <c r="A48" s="54"/>
      <c r="B48" s="98"/>
      <c r="C48" s="55"/>
      <c r="D48" s="68"/>
      <c r="E48" s="54"/>
      <c r="F48" s="57"/>
      <c r="G48" s="68"/>
      <c r="H48" s="54"/>
      <c r="I48" s="57"/>
      <c r="J48" s="57"/>
      <c r="L48" s="44"/>
      <c r="M48" s="44"/>
      <c r="N48" s="64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</row>
  </sheetData>
  <mergeCells count="12">
    <mergeCell ref="K37:M37"/>
    <mergeCell ref="K16:M16"/>
    <mergeCell ref="K18:M18"/>
    <mergeCell ref="K21:M21"/>
    <mergeCell ref="K32:M32"/>
    <mergeCell ref="K35:M35"/>
    <mergeCell ref="K34:M34"/>
    <mergeCell ref="A2:I2"/>
    <mergeCell ref="A3:I3"/>
    <mergeCell ref="A4:I4"/>
    <mergeCell ref="D9:F9"/>
    <mergeCell ref="G9:I9"/>
  </mergeCells>
  <printOptions horizontalCentered="1"/>
  <pageMargins left="0.7" right="0.7" top="0.75" bottom="0.71" header="0.3" footer="0.3"/>
  <pageSetup scale="65" orientation="landscape" r:id="rId1"/>
  <headerFooter alignWithMargins="0">
    <oddFooter>&amp;RExhibit No.___(JAP-39)
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2">
    <pageSetUpPr fitToPage="1"/>
  </sheetPr>
  <dimension ref="A1:AN48"/>
  <sheetViews>
    <sheetView view="pageBreakPreview" zoomScale="80" zoomScaleNormal="100" zoomScaleSheetLayoutView="80" workbookViewId="0">
      <pane ySplit="10" topLeftCell="A11" activePane="bottomLeft" state="frozen"/>
      <selection sqref="A1:XFD1048576"/>
      <selection pane="bottomLeft" activeCell="G35" sqref="G35"/>
    </sheetView>
  </sheetViews>
  <sheetFormatPr defaultColWidth="10.25" defaultRowHeight="15.75"/>
  <cols>
    <col min="1" max="1" width="60.25" style="44" bestFit="1" customWidth="1"/>
    <col min="2" max="2" width="1.375" style="44" bestFit="1" customWidth="1"/>
    <col min="3" max="3" width="14.25" style="44" bestFit="1" customWidth="1"/>
    <col min="4" max="4" width="12.75" style="44" bestFit="1" customWidth="1"/>
    <col min="5" max="5" width="2" style="44" bestFit="1" customWidth="1"/>
    <col min="6" max="6" width="14.25" style="44" bestFit="1" customWidth="1"/>
    <col min="7" max="7" width="15.75" style="44" customWidth="1"/>
    <col min="8" max="8" width="2" style="44" bestFit="1" customWidth="1"/>
    <col min="9" max="9" width="14.25" style="44" bestFit="1" customWidth="1"/>
    <col min="10" max="10" width="1.625" style="44" customWidth="1"/>
    <col min="11" max="11" width="16.25" style="44" customWidth="1"/>
    <col min="12" max="12" width="13.875" style="65" bestFit="1" customWidth="1"/>
    <col min="13" max="13" width="10.625" style="65" bestFit="1" customWidth="1"/>
    <col min="14" max="14" width="7.125" style="65" bestFit="1" customWidth="1"/>
    <col min="15" max="15" width="7.125" style="44" bestFit="1" customWidth="1"/>
    <col min="16" max="17" width="1.375" style="44" bestFit="1" customWidth="1"/>
    <col min="18" max="18" width="14.125" style="44" bestFit="1" customWidth="1"/>
    <col min="19" max="19" width="1.375" style="44" bestFit="1" customWidth="1"/>
    <col min="20" max="20" width="13.25" style="44" bestFit="1" customWidth="1"/>
    <col min="21" max="21" width="13" style="44" bestFit="1" customWidth="1"/>
    <col min="22" max="22" width="12.25" style="44" bestFit="1" customWidth="1"/>
    <col min="23" max="23" width="5.5" style="44" bestFit="1" customWidth="1"/>
    <col min="24" max="24" width="1.375" style="44" bestFit="1" customWidth="1"/>
    <col min="25" max="25" width="10.25" style="44" customWidth="1"/>
    <col min="26" max="26" width="12.125" style="44" customWidth="1"/>
    <col min="27" max="16384" width="10.25" style="44"/>
  </cols>
  <sheetData>
    <row r="1" spans="1:40" ht="18.75">
      <c r="J1" s="139"/>
      <c r="K1" s="63"/>
      <c r="L1" s="64"/>
      <c r="M1" s="64"/>
      <c r="N1" s="64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</row>
    <row r="2" spans="1:40" ht="18.75">
      <c r="A2" s="311" t="s">
        <v>54</v>
      </c>
      <c r="B2" s="311"/>
      <c r="C2" s="311"/>
      <c r="D2" s="311"/>
      <c r="E2" s="311"/>
      <c r="F2" s="311"/>
      <c r="G2" s="311"/>
      <c r="H2" s="311"/>
      <c r="I2" s="311"/>
      <c r="J2" s="139"/>
      <c r="K2" s="63"/>
      <c r="L2" s="64"/>
      <c r="M2" s="64"/>
      <c r="N2" s="64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1:40">
      <c r="A3" s="330" t="str">
        <f>'Exh. JAP-39 (Prof-Prop)'!$B$6</f>
        <v>12 MONTHS ENDED SEPTEMBER 2016</v>
      </c>
      <c r="B3" s="330"/>
      <c r="C3" s="330"/>
      <c r="D3" s="330"/>
      <c r="E3" s="330"/>
      <c r="F3" s="330"/>
      <c r="G3" s="330"/>
      <c r="H3" s="330"/>
      <c r="I3" s="330"/>
      <c r="J3" s="140"/>
      <c r="K3" s="63"/>
      <c r="L3" s="64"/>
      <c r="M3" s="64"/>
      <c r="N3" s="64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</row>
    <row r="4" spans="1:40">
      <c r="A4" s="304" t="s">
        <v>31</v>
      </c>
      <c r="B4" s="304"/>
      <c r="C4" s="304"/>
      <c r="D4" s="304"/>
      <c r="E4" s="304"/>
      <c r="F4" s="304"/>
      <c r="G4" s="304"/>
      <c r="H4" s="304"/>
      <c r="I4" s="304"/>
      <c r="J4" s="45"/>
      <c r="K4" s="63"/>
      <c r="L4" s="64"/>
      <c r="M4" s="64"/>
      <c r="N4" s="64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</row>
    <row r="5" spans="1:40">
      <c r="A5" s="46" t="s">
        <v>208</v>
      </c>
      <c r="B5" s="141"/>
      <c r="C5" s="141"/>
      <c r="D5" s="142"/>
      <c r="E5" s="142"/>
      <c r="F5" s="141"/>
      <c r="G5" s="142"/>
      <c r="H5" s="141"/>
      <c r="I5" s="141"/>
      <c r="J5" s="141"/>
      <c r="K5" s="63"/>
      <c r="L5" s="64"/>
      <c r="M5" s="64"/>
      <c r="N5" s="64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</row>
    <row r="6" spans="1:40">
      <c r="A6" s="46"/>
      <c r="B6" s="141"/>
      <c r="C6" s="141"/>
      <c r="D6" s="142"/>
      <c r="E6" s="142"/>
      <c r="F6" s="141"/>
      <c r="G6" s="142"/>
      <c r="H6" s="141"/>
      <c r="I6" s="141"/>
      <c r="J6" s="141"/>
      <c r="K6" s="63"/>
      <c r="L6" s="64"/>
      <c r="M6" s="64"/>
      <c r="N6" s="64"/>
      <c r="O6" s="64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</row>
    <row r="7" spans="1:40">
      <c r="A7" s="141"/>
      <c r="B7" s="141"/>
      <c r="C7" s="141"/>
      <c r="D7" s="142"/>
      <c r="E7" s="142"/>
      <c r="F7" s="141"/>
      <c r="G7" s="142"/>
      <c r="H7" s="141"/>
      <c r="I7" s="141"/>
      <c r="J7" s="141"/>
      <c r="K7" s="63"/>
      <c r="L7" s="64"/>
      <c r="M7" s="64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</row>
    <row r="8" spans="1:40">
      <c r="A8" s="48"/>
      <c r="B8" s="48"/>
      <c r="C8" s="47"/>
      <c r="D8" s="48"/>
      <c r="E8" s="48"/>
      <c r="G8" s="48"/>
      <c r="H8" s="49"/>
      <c r="I8" s="49"/>
      <c r="J8" s="49"/>
      <c r="K8" s="63"/>
      <c r="L8" s="64"/>
      <c r="M8" s="64"/>
      <c r="N8" s="64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</row>
    <row r="9" spans="1:40">
      <c r="A9" s="48"/>
      <c r="B9" s="48"/>
      <c r="C9" s="47" t="s">
        <v>32</v>
      </c>
      <c r="D9" s="305" t="s">
        <v>3</v>
      </c>
      <c r="E9" s="306"/>
      <c r="F9" s="307"/>
      <c r="G9" s="308" t="str">
        <f>'Exh. JAP-39 (Res RD)'!$G$9</f>
        <v>Proposed Effective December 2017</v>
      </c>
      <c r="H9" s="306"/>
      <c r="I9" s="307"/>
      <c r="J9" s="49"/>
      <c r="K9" s="63"/>
      <c r="L9" s="64"/>
      <c r="M9" s="64"/>
      <c r="N9" s="64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</row>
    <row r="10" spans="1:40">
      <c r="A10" s="48"/>
      <c r="B10" s="48"/>
      <c r="C10" s="51" t="s">
        <v>33</v>
      </c>
      <c r="D10" s="52" t="s">
        <v>34</v>
      </c>
      <c r="E10" s="53"/>
      <c r="F10" s="49" t="s">
        <v>35</v>
      </c>
      <c r="G10" s="52" t="s">
        <v>34</v>
      </c>
      <c r="H10" s="52"/>
      <c r="I10" s="52" t="s">
        <v>35</v>
      </c>
      <c r="J10" s="52"/>
      <c r="K10" s="63"/>
      <c r="L10" s="64"/>
      <c r="M10" s="64"/>
      <c r="N10" s="64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</row>
    <row r="11" spans="1:40">
      <c r="C11" s="55"/>
      <c r="D11" s="54" t="s">
        <v>0</v>
      </c>
      <c r="E11" s="55"/>
      <c r="F11" s="57"/>
      <c r="G11" s="54" t="s">
        <v>0</v>
      </c>
      <c r="H11" s="55"/>
      <c r="I11" s="57" t="s">
        <v>0</v>
      </c>
      <c r="J11" s="57"/>
      <c r="K11" s="63"/>
      <c r="L11" s="64"/>
      <c r="M11" s="64"/>
      <c r="N11" s="64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G11" s="66"/>
    </row>
    <row r="12" spans="1:40">
      <c r="A12" s="67" t="s">
        <v>200</v>
      </c>
      <c r="B12" s="54"/>
      <c r="C12" s="54" t="s">
        <v>0</v>
      </c>
      <c r="D12" s="57"/>
      <c r="E12" s="54"/>
      <c r="F12" s="54"/>
      <c r="G12" s="57"/>
      <c r="H12" s="54"/>
      <c r="I12" s="54"/>
      <c r="J12" s="54"/>
      <c r="K12" s="63"/>
      <c r="L12" s="64"/>
      <c r="M12" s="64"/>
      <c r="N12" s="64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G12" s="66"/>
    </row>
    <row r="13" spans="1:40">
      <c r="A13" s="67" t="s">
        <v>201</v>
      </c>
      <c r="B13" s="54"/>
      <c r="C13" s="54"/>
      <c r="D13" s="57"/>
      <c r="E13" s="54"/>
      <c r="F13" s="54"/>
      <c r="G13" s="57"/>
      <c r="H13" s="54"/>
      <c r="I13" s="54"/>
      <c r="J13" s="54"/>
      <c r="K13" s="63"/>
      <c r="L13" s="64"/>
      <c r="M13" s="64"/>
      <c r="N13" s="64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G13" s="66"/>
    </row>
    <row r="14" spans="1:40">
      <c r="A14" s="67" t="s">
        <v>152</v>
      </c>
      <c r="B14" s="54"/>
      <c r="C14" s="55">
        <v>240</v>
      </c>
      <c r="D14" s="68">
        <f>'Exh. JAP-39 (Tariff)'!E168</f>
        <v>995</v>
      </c>
      <c r="E14" s="54"/>
      <c r="F14" s="57">
        <f t="shared" ref="F14" si="0">ROUND(D14*$C14,0)</f>
        <v>238800</v>
      </c>
      <c r="G14" s="68">
        <v>2145</v>
      </c>
      <c r="H14" s="54"/>
      <c r="I14" s="57">
        <f t="shared" ref="I14" si="1">ROUND(G14*$C14,0)</f>
        <v>514800</v>
      </c>
      <c r="J14" s="69"/>
      <c r="K14" s="310" t="s">
        <v>202</v>
      </c>
      <c r="L14" s="310"/>
      <c r="M14" s="310"/>
      <c r="N14" s="70"/>
      <c r="P14" s="66"/>
      <c r="Q14" s="71"/>
      <c r="R14" s="66"/>
      <c r="S14" s="71"/>
      <c r="T14" s="66"/>
      <c r="U14" s="66"/>
      <c r="V14" s="71"/>
      <c r="W14" s="72"/>
      <c r="X14" s="66"/>
      <c r="Y14" s="66"/>
      <c r="AG14" s="63"/>
      <c r="AH14" s="63"/>
      <c r="AI14" s="63"/>
      <c r="AJ14" s="63"/>
      <c r="AK14" s="63"/>
      <c r="AL14" s="63"/>
      <c r="AN14" s="66"/>
    </row>
    <row r="15" spans="1:40">
      <c r="A15" s="54" t="s">
        <v>97</v>
      </c>
      <c r="B15" s="54"/>
      <c r="C15" s="55"/>
      <c r="D15" s="73"/>
      <c r="E15" s="54"/>
      <c r="F15" s="57"/>
      <c r="G15" s="73"/>
      <c r="H15" s="54"/>
      <c r="I15" s="57"/>
      <c r="J15" s="54"/>
      <c r="M15" s="70"/>
      <c r="N15" s="70"/>
      <c r="P15" s="66"/>
      <c r="Q15" s="71"/>
      <c r="R15" s="66"/>
      <c r="S15" s="71"/>
      <c r="T15" s="66"/>
      <c r="U15" s="66"/>
      <c r="V15" s="71"/>
      <c r="W15" s="72"/>
      <c r="X15" s="66"/>
      <c r="Y15" s="66"/>
      <c r="AG15" s="63"/>
      <c r="AH15" s="63"/>
      <c r="AI15" s="63"/>
      <c r="AJ15" s="63"/>
      <c r="AK15" s="63"/>
      <c r="AL15" s="63"/>
      <c r="AN15" s="66"/>
    </row>
    <row r="16" spans="1:40">
      <c r="A16" s="74" t="s">
        <v>52</v>
      </c>
      <c r="B16" s="54"/>
      <c r="C16" s="55">
        <v>2109984905.4339998</v>
      </c>
      <c r="D16" s="73">
        <v>0</v>
      </c>
      <c r="E16" s="54"/>
      <c r="F16" s="57">
        <f t="shared" ref="F16:F18" si="2">ROUND(D16*$C16,0)</f>
        <v>0</v>
      </c>
      <c r="G16" s="73">
        <v>0</v>
      </c>
      <c r="H16" s="54"/>
      <c r="I16" s="57">
        <f t="shared" ref="I16:I18" si="3">ROUND(G16*$C16,0)</f>
        <v>0</v>
      </c>
      <c r="J16" s="69"/>
      <c r="K16" s="310"/>
      <c r="L16" s="310"/>
      <c r="M16" s="310"/>
      <c r="N16" s="70"/>
      <c r="O16" s="65"/>
      <c r="X16" s="63"/>
      <c r="Y16" s="63"/>
      <c r="Z16" s="63"/>
      <c r="AA16" s="63"/>
      <c r="AB16" s="63"/>
      <c r="AC16" s="63"/>
      <c r="AD16" s="63"/>
      <c r="AE16" s="63"/>
      <c r="AG16" s="66"/>
    </row>
    <row r="17" spans="1:33">
      <c r="A17" s="74" t="s">
        <v>83</v>
      </c>
      <c r="B17" s="75"/>
      <c r="C17" s="55">
        <v>0</v>
      </c>
      <c r="D17" s="73">
        <v>0</v>
      </c>
      <c r="E17" s="73"/>
      <c r="F17" s="57">
        <f t="shared" si="2"/>
        <v>0</v>
      </c>
      <c r="G17" s="73">
        <v>0</v>
      </c>
      <c r="H17" s="54"/>
      <c r="I17" s="57">
        <f t="shared" si="3"/>
        <v>0</v>
      </c>
      <c r="J17" s="69"/>
      <c r="X17" s="63"/>
      <c r="Y17" s="63"/>
      <c r="Z17" s="63"/>
      <c r="AA17" s="63"/>
      <c r="AB17" s="63"/>
      <c r="AC17" s="63"/>
      <c r="AD17" s="63"/>
      <c r="AE17" s="63"/>
      <c r="AG17" s="66"/>
    </row>
    <row r="18" spans="1:33">
      <c r="A18" s="76" t="s">
        <v>88</v>
      </c>
      <c r="B18" s="77"/>
      <c r="C18" s="78">
        <v>-11881268.808000008</v>
      </c>
      <c r="D18" s="73">
        <f>ROUND(SUM(F14,F23,F25)/SUM(C16:C17),6)</f>
        <v>3.581E-3</v>
      </c>
      <c r="E18" s="54"/>
      <c r="F18" s="79">
        <f t="shared" si="2"/>
        <v>-42547</v>
      </c>
      <c r="G18" s="73">
        <f>ROUND(SUM(I14,I23,I25)/SUM(C16:C17),6)</f>
        <v>3.7959999999999999E-3</v>
      </c>
      <c r="H18" s="54"/>
      <c r="I18" s="79">
        <f t="shared" si="3"/>
        <v>-45101</v>
      </c>
      <c r="J18" s="69"/>
      <c r="K18" s="310"/>
      <c r="L18" s="310"/>
      <c r="M18" s="310"/>
      <c r="N18" s="72"/>
      <c r="X18" s="63"/>
      <c r="Y18" s="63"/>
      <c r="Z18" s="63"/>
      <c r="AA18" s="63"/>
      <c r="AB18" s="63"/>
      <c r="AC18" s="63"/>
      <c r="AD18" s="63"/>
      <c r="AE18" s="63"/>
      <c r="AG18" s="66"/>
    </row>
    <row r="19" spans="1:33">
      <c r="A19" s="80" t="s">
        <v>36</v>
      </c>
      <c r="B19" s="77"/>
      <c r="C19" s="81">
        <f>SUM(C16:C18)</f>
        <v>2098103636.6259997</v>
      </c>
      <c r="D19" s="73"/>
      <c r="E19" s="54"/>
      <c r="F19" s="57">
        <f>SUM(F16:F18)</f>
        <v>-42547</v>
      </c>
      <c r="G19" s="73"/>
      <c r="H19" s="54"/>
      <c r="I19" s="57">
        <f>SUM(I16:I18)</f>
        <v>-45101</v>
      </c>
      <c r="J19" s="69"/>
      <c r="M19" s="72"/>
      <c r="N19" s="72"/>
      <c r="X19" s="63"/>
      <c r="Y19" s="63"/>
      <c r="Z19" s="63"/>
      <c r="AA19" s="63"/>
      <c r="AB19" s="63"/>
      <c r="AC19" s="63"/>
      <c r="AD19" s="63"/>
      <c r="AE19" s="63"/>
      <c r="AG19" s="66"/>
    </row>
    <row r="20" spans="1:33">
      <c r="A20" s="80"/>
      <c r="B20" s="77"/>
      <c r="C20" s="81"/>
      <c r="D20" s="73"/>
      <c r="E20" s="54"/>
      <c r="F20" s="57"/>
      <c r="G20" s="73"/>
      <c r="H20" s="54"/>
      <c r="I20" s="57"/>
      <c r="J20" s="69"/>
      <c r="M20" s="72"/>
      <c r="N20" s="72"/>
      <c r="X20" s="63"/>
      <c r="Y20" s="63"/>
      <c r="Z20" s="63"/>
      <c r="AA20" s="63"/>
      <c r="AB20" s="63"/>
      <c r="AC20" s="63"/>
      <c r="AD20" s="63"/>
      <c r="AE20" s="63"/>
      <c r="AG20" s="66"/>
    </row>
    <row r="21" spans="1:33">
      <c r="A21" s="67" t="s">
        <v>203</v>
      </c>
      <c r="B21" s="54"/>
      <c r="C21" s="55">
        <v>183378</v>
      </c>
      <c r="D21" s="82">
        <f>'Exh. JAP-39 (Tariff)'!E169</f>
        <v>1.298</v>
      </c>
      <c r="E21" s="54"/>
      <c r="F21" s="57">
        <f t="shared" ref="F21" si="4">ROUND(D21*$C21,0)</f>
        <v>238025</v>
      </c>
      <c r="G21" s="82">
        <v>0</v>
      </c>
      <c r="H21" s="54"/>
      <c r="I21" s="57">
        <f t="shared" ref="I21" si="5">ROUND(G21*$C21,0)</f>
        <v>0</v>
      </c>
      <c r="J21" s="69"/>
      <c r="K21" s="310" t="s">
        <v>206</v>
      </c>
      <c r="L21" s="310"/>
      <c r="M21" s="310"/>
      <c r="N21" s="70"/>
      <c r="O21" s="65"/>
      <c r="X21" s="63"/>
      <c r="Y21" s="63"/>
      <c r="Z21" s="63"/>
      <c r="AA21" s="63"/>
      <c r="AB21" s="63"/>
      <c r="AC21" s="63"/>
      <c r="AD21" s="63"/>
      <c r="AE21" s="63"/>
      <c r="AG21" s="66"/>
    </row>
    <row r="22" spans="1:33">
      <c r="A22" s="67" t="s">
        <v>204</v>
      </c>
      <c r="B22" s="54"/>
      <c r="C22" s="55">
        <v>3462662</v>
      </c>
      <c r="D22" s="82">
        <f>'Exh. JAP-39 (Tariff)'!E172</f>
        <v>-0.12</v>
      </c>
      <c r="E22" s="54"/>
      <c r="F22" s="79">
        <f t="shared" ref="F22" si="6">ROUND(D22*$C22,0)</f>
        <v>-415519</v>
      </c>
      <c r="G22" s="82">
        <v>0</v>
      </c>
      <c r="H22" s="54"/>
      <c r="I22" s="79">
        <f t="shared" ref="I22" si="7">ROUND(G22*$C22,0)</f>
        <v>0</v>
      </c>
      <c r="J22" s="69"/>
      <c r="K22" s="310" t="s">
        <v>206</v>
      </c>
      <c r="L22" s="310"/>
      <c r="M22" s="310"/>
      <c r="N22" s="72"/>
      <c r="X22" s="63"/>
      <c r="Y22" s="63"/>
      <c r="Z22" s="63"/>
      <c r="AA22" s="63"/>
      <c r="AB22" s="63"/>
      <c r="AC22" s="63"/>
      <c r="AD22" s="63"/>
      <c r="AE22" s="63"/>
      <c r="AG22" s="66"/>
    </row>
    <row r="23" spans="1:33">
      <c r="A23" s="54" t="s">
        <v>40</v>
      </c>
      <c r="B23" s="54"/>
      <c r="C23" s="81">
        <f>SUM(C21:C22)</f>
        <v>3646040</v>
      </c>
      <c r="D23" s="83"/>
      <c r="E23" s="84"/>
      <c r="F23" s="57">
        <f>SUM(F21:F22)</f>
        <v>-177494</v>
      </c>
      <c r="G23" s="73"/>
      <c r="H23" s="54"/>
      <c r="I23" s="57">
        <f>SUM(I21:I22)</f>
        <v>0</v>
      </c>
      <c r="J23" s="69"/>
      <c r="M23" s="72"/>
      <c r="N23" s="85"/>
      <c r="O23" s="86" t="s">
        <v>0</v>
      </c>
      <c r="X23" s="63"/>
      <c r="Y23" s="63"/>
      <c r="Z23" s="63"/>
      <c r="AA23" s="63"/>
      <c r="AB23" s="63"/>
      <c r="AC23" s="63"/>
      <c r="AD23" s="63"/>
      <c r="AE23" s="63"/>
      <c r="AG23" s="66"/>
    </row>
    <row r="24" spans="1:33">
      <c r="A24" s="54"/>
      <c r="B24" s="54"/>
      <c r="C24" s="81"/>
      <c r="D24" s="83"/>
      <c r="E24" s="84"/>
      <c r="F24" s="69"/>
      <c r="G24" s="87"/>
      <c r="H24" s="84"/>
      <c r="I24" s="69"/>
      <c r="J24" s="69"/>
      <c r="M24" s="72"/>
      <c r="N24" s="85"/>
      <c r="O24" s="86"/>
      <c r="X24" s="63"/>
      <c r="Y24" s="63"/>
      <c r="Z24" s="63"/>
      <c r="AA24" s="63"/>
      <c r="AB24" s="63"/>
      <c r="AC24" s="63"/>
      <c r="AD24" s="63"/>
      <c r="AE24" s="63"/>
      <c r="AG24" s="66"/>
    </row>
    <row r="25" spans="1:33">
      <c r="A25" s="67" t="s">
        <v>205</v>
      </c>
      <c r="B25" s="54"/>
      <c r="C25" s="55"/>
      <c r="D25" s="82"/>
      <c r="E25" s="54"/>
      <c r="F25" s="57">
        <v>7494526</v>
      </c>
      <c r="G25" s="73"/>
      <c r="H25" s="54"/>
      <c r="I25" s="57">
        <f>F25</f>
        <v>7494526</v>
      </c>
      <c r="J25" s="69"/>
      <c r="K25" s="88"/>
      <c r="M25" s="70"/>
      <c r="N25" s="70"/>
      <c r="O25" s="65"/>
      <c r="X25" s="63"/>
      <c r="Y25" s="63"/>
      <c r="Z25" s="63"/>
      <c r="AA25" s="63"/>
      <c r="AB25" s="63"/>
      <c r="AC25" s="63"/>
      <c r="AD25" s="63"/>
      <c r="AE25" s="63"/>
      <c r="AG25" s="66"/>
    </row>
    <row r="26" spans="1:33">
      <c r="A26" s="76"/>
      <c r="B26" s="77"/>
      <c r="C26" s="81"/>
      <c r="D26" s="73"/>
      <c r="E26" s="54"/>
      <c r="F26" s="57"/>
      <c r="G26" s="73"/>
      <c r="H26" s="54"/>
      <c r="I26" s="57"/>
      <c r="J26" s="69"/>
      <c r="M26" s="64"/>
      <c r="N26" s="64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</row>
    <row r="27" spans="1:33" ht="16.5" thickBot="1">
      <c r="A27" s="54" t="s">
        <v>40</v>
      </c>
      <c r="B27" s="54"/>
      <c r="C27" s="81"/>
      <c r="D27" s="83"/>
      <c r="E27" s="84"/>
      <c r="F27" s="62">
        <f>SUM(F23,F19,F14,F25)</f>
        <v>7513285</v>
      </c>
      <c r="G27" s="83"/>
      <c r="H27" s="84"/>
      <c r="I27" s="62">
        <f>SUM(I23,I19,I14,I25)</f>
        <v>7964225</v>
      </c>
      <c r="J27" s="89"/>
      <c r="K27" s="90" t="s">
        <v>38</v>
      </c>
      <c r="L27" s="91">
        <f>I27</f>
        <v>7964225</v>
      </c>
      <c r="M27" s="92">
        <f>L27/SUM(F23,F27)-1</f>
        <v>8.5666835382850914E-2</v>
      </c>
      <c r="N27" s="64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</row>
    <row r="28" spans="1:33" ht="16.5" thickTop="1">
      <c r="A28" s="54"/>
      <c r="B28" s="54"/>
      <c r="C28" s="55"/>
      <c r="D28" s="93"/>
      <c r="E28" s="54"/>
      <c r="F28" s="57"/>
      <c r="G28" s="93"/>
      <c r="H28" s="54"/>
      <c r="I28" s="57"/>
      <c r="J28" s="57"/>
      <c r="K28" s="94" t="s">
        <v>39</v>
      </c>
      <c r="L28" s="95">
        <f>L27-I27-I23</f>
        <v>0</v>
      </c>
      <c r="M28" s="96" t="s">
        <v>0</v>
      </c>
      <c r="N28" s="64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</row>
    <row r="29" spans="1:33">
      <c r="A29" s="74"/>
      <c r="B29" s="54"/>
      <c r="C29" s="55"/>
      <c r="D29" s="68"/>
      <c r="E29" s="54"/>
      <c r="F29" s="57"/>
      <c r="G29" s="68"/>
      <c r="H29" s="54"/>
      <c r="I29" s="57"/>
      <c r="J29" s="57"/>
      <c r="K29" s="63"/>
      <c r="L29" s="64"/>
      <c r="M29" s="64"/>
      <c r="N29" s="64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</row>
    <row r="30" spans="1:33">
      <c r="A30" s="74"/>
      <c r="B30" s="54"/>
      <c r="C30" s="55"/>
      <c r="D30" s="68"/>
      <c r="E30" s="54"/>
      <c r="F30" s="57"/>
      <c r="G30" s="68"/>
      <c r="H30" s="54"/>
      <c r="I30" s="57"/>
      <c r="J30" s="57"/>
      <c r="K30" s="63"/>
      <c r="L30" s="64"/>
      <c r="M30" s="64"/>
      <c r="N30" s="64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</row>
    <row r="31" spans="1:33">
      <c r="A31" s="80"/>
      <c r="B31" s="54"/>
      <c r="C31" s="55"/>
      <c r="D31" s="68"/>
      <c r="E31" s="54"/>
      <c r="F31" s="57"/>
      <c r="G31" s="68"/>
      <c r="H31" s="54"/>
      <c r="I31" s="57"/>
      <c r="J31" s="57"/>
      <c r="K31" s="63"/>
      <c r="L31" s="64"/>
      <c r="M31" s="64"/>
      <c r="N31" s="64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</row>
    <row r="32" spans="1:33">
      <c r="A32" s="67" t="s">
        <v>209</v>
      </c>
      <c r="B32" s="54"/>
      <c r="C32" s="54" t="s">
        <v>0</v>
      </c>
      <c r="D32" s="57"/>
      <c r="E32" s="54"/>
      <c r="F32" s="54"/>
      <c r="G32" s="57"/>
      <c r="H32" s="54"/>
      <c r="I32" s="54"/>
      <c r="J32" s="54"/>
      <c r="K32" s="63"/>
      <c r="L32" s="64"/>
      <c r="M32" s="64"/>
      <c r="N32" s="64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</row>
    <row r="33" spans="1:31">
      <c r="A33" s="67" t="s">
        <v>81</v>
      </c>
      <c r="B33" s="54"/>
      <c r="C33" s="54"/>
      <c r="D33" s="57"/>
      <c r="E33" s="54"/>
      <c r="F33" s="54"/>
      <c r="G33" s="57"/>
      <c r="H33" s="54"/>
      <c r="I33" s="54"/>
      <c r="J33" s="54"/>
      <c r="K33" s="63"/>
      <c r="L33" s="64"/>
      <c r="M33" s="64"/>
      <c r="N33" s="64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</row>
    <row r="34" spans="1:31">
      <c r="A34" s="67" t="s">
        <v>194</v>
      </c>
      <c r="B34" s="54"/>
      <c r="C34" s="55">
        <v>96</v>
      </c>
      <c r="D34" s="68"/>
      <c r="E34" s="54"/>
      <c r="F34" s="57"/>
      <c r="G34" s="68"/>
      <c r="H34" s="54"/>
      <c r="I34" s="57"/>
      <c r="J34" s="69"/>
      <c r="K34" s="310"/>
      <c r="L34" s="310"/>
      <c r="M34" s="310"/>
      <c r="N34" s="64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</row>
    <row r="35" spans="1:31">
      <c r="A35" s="54" t="s">
        <v>97</v>
      </c>
      <c r="B35" s="54"/>
      <c r="C35" s="55"/>
      <c r="D35" s="73"/>
      <c r="E35" s="54"/>
      <c r="F35" s="57"/>
      <c r="G35" s="73"/>
      <c r="H35" s="54"/>
      <c r="I35" s="57"/>
      <c r="J35" s="54"/>
      <c r="M35" s="70"/>
      <c r="N35" s="64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</row>
    <row r="36" spans="1:31">
      <c r="A36" s="74" t="s">
        <v>52</v>
      </c>
      <c r="B36" s="54"/>
      <c r="C36" s="55">
        <v>6797340</v>
      </c>
      <c r="D36" s="73">
        <v>3.5139999999999998E-2</v>
      </c>
      <c r="E36" s="54"/>
      <c r="F36" s="57">
        <f t="shared" ref="F36:F38" si="8">ROUND(D36*$C36,0)</f>
        <v>238859</v>
      </c>
      <c r="G36" s="73">
        <f>D36</f>
        <v>3.5139999999999998E-2</v>
      </c>
      <c r="H36" s="54"/>
      <c r="I36" s="57">
        <f t="shared" ref="I36:I38" si="9">ROUND(G36*$C36,0)</f>
        <v>238859</v>
      </c>
      <c r="J36" s="69"/>
      <c r="K36" s="310"/>
      <c r="L36" s="310"/>
      <c r="M36" s="310"/>
      <c r="N36" s="64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</row>
    <row r="37" spans="1:31">
      <c r="A37" s="74" t="s">
        <v>83</v>
      </c>
      <c r="B37" s="75"/>
      <c r="C37" s="55">
        <v>145693.42218082873</v>
      </c>
      <c r="D37" s="73">
        <f>D36</f>
        <v>3.5139999999999998E-2</v>
      </c>
      <c r="E37" s="73"/>
      <c r="F37" s="57">
        <f t="shared" si="8"/>
        <v>5120</v>
      </c>
      <c r="G37" s="73">
        <f>D37</f>
        <v>3.5139999999999998E-2</v>
      </c>
      <c r="H37" s="54"/>
      <c r="I37" s="57">
        <f t="shared" si="9"/>
        <v>5120</v>
      </c>
      <c r="J37" s="69"/>
    </row>
    <row r="38" spans="1:31">
      <c r="A38" s="76" t="s">
        <v>88</v>
      </c>
      <c r="B38" s="77"/>
      <c r="C38" s="78">
        <v>-13230</v>
      </c>
      <c r="D38" s="73">
        <f>ROUND(SUM(F36:F37,F41,F43)/SUM(C36:C37),6)</f>
        <v>4.5657000000000003E-2</v>
      </c>
      <c r="E38" s="54"/>
      <c r="F38" s="79">
        <f t="shared" si="8"/>
        <v>-604</v>
      </c>
      <c r="G38" s="73">
        <f>D38</f>
        <v>4.5657000000000003E-2</v>
      </c>
      <c r="H38" s="54"/>
      <c r="I38" s="79">
        <f t="shared" si="9"/>
        <v>-604</v>
      </c>
      <c r="J38" s="69"/>
      <c r="K38" s="310"/>
      <c r="L38" s="310"/>
      <c r="M38" s="310"/>
    </row>
    <row r="39" spans="1:31">
      <c r="A39" s="80" t="s">
        <v>36</v>
      </c>
      <c r="B39" s="77"/>
      <c r="C39" s="81">
        <f>SUM(C36:C38)</f>
        <v>6929803.4221808286</v>
      </c>
      <c r="D39" s="73"/>
      <c r="E39" s="54"/>
      <c r="F39" s="57">
        <f>SUM(F36:F38)</f>
        <v>243375</v>
      </c>
      <c r="G39" s="73"/>
      <c r="H39" s="54"/>
      <c r="I39" s="57">
        <f>SUM(I36:I38)</f>
        <v>243375</v>
      </c>
      <c r="J39" s="69"/>
      <c r="M39" s="72"/>
    </row>
    <row r="40" spans="1:31">
      <c r="A40" s="80"/>
      <c r="B40" s="77"/>
      <c r="C40" s="81"/>
      <c r="D40" s="73"/>
      <c r="E40" s="54"/>
      <c r="F40" s="57"/>
      <c r="G40" s="73"/>
      <c r="H40" s="54"/>
      <c r="I40" s="57"/>
      <c r="J40" s="69"/>
      <c r="M40" s="72"/>
    </row>
    <row r="41" spans="1:31">
      <c r="A41" s="54" t="s">
        <v>210</v>
      </c>
      <c r="B41" s="54"/>
      <c r="C41" s="55">
        <v>13806</v>
      </c>
      <c r="D41" s="82">
        <v>5.25</v>
      </c>
      <c r="E41" s="54"/>
      <c r="F41" s="57">
        <f t="shared" ref="F41" si="10">ROUND(D41*$C41,0)</f>
        <v>72482</v>
      </c>
      <c r="G41" s="82">
        <f>D41</f>
        <v>5.25</v>
      </c>
      <c r="H41" s="54"/>
      <c r="I41" s="57">
        <f t="shared" ref="I41" si="11">ROUND(G41*$C41,0)</f>
        <v>72482</v>
      </c>
      <c r="J41" s="69"/>
      <c r="M41" s="72"/>
    </row>
    <row r="42" spans="1:31">
      <c r="A42" s="54"/>
      <c r="B42" s="54"/>
      <c r="C42" s="81"/>
      <c r="D42" s="83"/>
      <c r="E42" s="84"/>
      <c r="F42" s="69"/>
      <c r="G42" s="83"/>
      <c r="H42" s="84"/>
      <c r="I42" s="69"/>
      <c r="J42" s="69"/>
      <c r="M42" s="72"/>
    </row>
    <row r="43" spans="1:31">
      <c r="A43" s="67" t="s">
        <v>166</v>
      </c>
      <c r="B43" s="54"/>
      <c r="C43" s="55">
        <v>2144520</v>
      </c>
      <c r="D43" s="97">
        <v>2.5000000000000001E-4</v>
      </c>
      <c r="E43" s="54"/>
      <c r="F43" s="57">
        <f t="shared" ref="F43" si="12">ROUND(D43*$C43,0)</f>
        <v>536</v>
      </c>
      <c r="G43" s="97">
        <f>D43</f>
        <v>2.5000000000000001E-4</v>
      </c>
      <c r="H43" s="54"/>
      <c r="I43" s="57">
        <f t="shared" ref="I43" si="13">ROUND(G43*$C43,0)</f>
        <v>536</v>
      </c>
      <c r="J43" s="69"/>
      <c r="K43" s="88"/>
      <c r="M43" s="70"/>
    </row>
    <row r="44" spans="1:31">
      <c r="A44" s="67"/>
      <c r="B44" s="54"/>
      <c r="C44" s="55"/>
      <c r="D44" s="97"/>
      <c r="E44" s="54"/>
      <c r="F44" s="57"/>
      <c r="G44" s="97"/>
      <c r="H44" s="54"/>
      <c r="I44" s="57"/>
      <c r="J44" s="69"/>
      <c r="K44" s="88"/>
      <c r="M44" s="70"/>
    </row>
    <row r="45" spans="1:31">
      <c r="A45" s="67" t="s">
        <v>211</v>
      </c>
      <c r="B45" s="54"/>
      <c r="C45" s="55"/>
      <c r="D45" s="97"/>
      <c r="E45" s="54"/>
      <c r="F45" s="57"/>
      <c r="G45" s="97"/>
      <c r="H45" s="54"/>
      <c r="I45" s="57">
        <f>'Exh. JAP-39 (Rate Spread)'!J31*1000</f>
        <v>405143</v>
      </c>
      <c r="J45" s="69"/>
      <c r="K45" s="310" t="s">
        <v>212</v>
      </c>
      <c r="L45" s="310"/>
      <c r="M45" s="310"/>
    </row>
    <row r="46" spans="1:31">
      <c r="A46" s="76"/>
      <c r="B46" s="77"/>
      <c r="C46" s="81"/>
      <c r="D46" s="73"/>
      <c r="E46" s="54"/>
      <c r="F46" s="57"/>
      <c r="G46" s="73"/>
      <c r="H46" s="54"/>
      <c r="I46" s="57"/>
      <c r="J46" s="69"/>
      <c r="M46" s="64"/>
    </row>
    <row r="47" spans="1:31" ht="16.5" thickBot="1">
      <c r="A47" s="54" t="s">
        <v>40</v>
      </c>
      <c r="B47" s="54"/>
      <c r="C47" s="81"/>
      <c r="D47" s="83"/>
      <c r="E47" s="84"/>
      <c r="F47" s="62">
        <f>SUM(F41,F39,F34,F43)</f>
        <v>316393</v>
      </c>
      <c r="G47" s="83"/>
      <c r="H47" s="84"/>
      <c r="I47" s="62">
        <f>SUM(I41,I39,I34,I43,I45)</f>
        <v>721536</v>
      </c>
      <c r="J47" s="89"/>
      <c r="K47" s="90" t="s">
        <v>38</v>
      </c>
      <c r="L47" s="91">
        <f>'Exh. JAP-39 (Rate Spread)'!J31*1000+F47</f>
        <v>721536</v>
      </c>
      <c r="M47" s="92">
        <f>L47/SUM(F41,F47)-1</f>
        <v>0.8554445515911282</v>
      </c>
    </row>
    <row r="48" spans="1:31" ht="16.5" thickTop="1">
      <c r="A48" s="54"/>
      <c r="B48" s="54"/>
      <c r="C48" s="55"/>
      <c r="D48" s="93"/>
      <c r="E48" s="54"/>
      <c r="F48" s="57"/>
      <c r="G48" s="93"/>
      <c r="H48" s="54"/>
      <c r="I48" s="57"/>
      <c r="J48" s="57"/>
      <c r="K48" s="94" t="s">
        <v>39</v>
      </c>
      <c r="L48" s="95">
        <f>L47-I47</f>
        <v>0</v>
      </c>
      <c r="M48" s="96" t="s">
        <v>0</v>
      </c>
    </row>
  </sheetData>
  <mergeCells count="14">
    <mergeCell ref="K36:M36"/>
    <mergeCell ref="K38:M38"/>
    <mergeCell ref="K45:M45"/>
    <mergeCell ref="K14:M14"/>
    <mergeCell ref="K16:M16"/>
    <mergeCell ref="K18:M18"/>
    <mergeCell ref="K21:M21"/>
    <mergeCell ref="K22:M22"/>
    <mergeCell ref="K34:M34"/>
    <mergeCell ref="A2:I2"/>
    <mergeCell ref="A3:I3"/>
    <mergeCell ref="A4:I4"/>
    <mergeCell ref="D9:F9"/>
    <mergeCell ref="G9:I9"/>
  </mergeCells>
  <printOptions horizontalCentered="1"/>
  <pageMargins left="0.7" right="0.7" top="0.75" bottom="0.71" header="0.3" footer="0.3"/>
  <pageSetup scale="57" orientation="landscape" r:id="rId1"/>
  <headerFooter alignWithMargins="0">
    <oddFooter>&amp;RExhibit No.___(JAP-39)
Page &amp;P of &amp;N</oddFooter>
  </headerFooter>
  <rowBreaks count="1" manualBreakCount="1">
    <brk id="11" max="1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2017-04-03T07:00:00+00:00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170033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F04274-8F7D-4868-BF40-D4EC1AB9B17B}"/>
</file>

<file path=customXml/itemProps2.xml><?xml version="1.0" encoding="utf-8"?>
<ds:datastoreItem xmlns:ds="http://schemas.openxmlformats.org/officeDocument/2006/customXml" ds:itemID="{10C33DAE-168C-4864-8744-A74E62D419B1}">
  <ds:schemaRefs>
    <ds:schemaRef ds:uri="http://purl.org/dc/terms/"/>
    <ds:schemaRef ds:uri="http://www.w3.org/XML/1998/namespace"/>
    <ds:schemaRef ds:uri="dc463f71-b30c-4ab2-9473-d307f9d35888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0518BD-1471-4E82-9884-B2D84BB6D75A}"/>
</file>

<file path=customXml/itemProps4.xml><?xml version="1.0" encoding="utf-8"?>
<ds:datastoreItem xmlns:ds="http://schemas.openxmlformats.org/officeDocument/2006/customXml" ds:itemID="{F3D7BA3A-D653-45E7-86A2-3CD4E323EC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19</vt:i4>
      </vt:variant>
    </vt:vector>
  </HeadingPairs>
  <TitlesOfParts>
    <vt:vector size="29" baseType="lpstr">
      <vt:lpstr>Exh. JAP-39 (Tariff)</vt:lpstr>
      <vt:lpstr>Exh. JAP-39 (Rate Spread)</vt:lpstr>
      <vt:lpstr>Exh. JAP-39 (Prof-Prop)</vt:lpstr>
      <vt:lpstr>Exh. JAP-39 (Res RD)</vt:lpstr>
      <vt:lpstr>Exh. JAP-39 (SV RD)</vt:lpstr>
      <vt:lpstr>Exh. JAP-39 (PV RD)</vt:lpstr>
      <vt:lpstr>Exh. JAP-39 (CAMP RD)</vt:lpstr>
      <vt:lpstr>Exh. JAP-39 (HV RD)</vt:lpstr>
      <vt:lpstr>Exh. JAP-39 (TRANSP RD)</vt:lpstr>
      <vt:lpstr>Exh. JAP-39 (LIGHT RD)</vt:lpstr>
      <vt:lpstr>'Exh. JAP-39 (CAMP RD)'!Print_Area</vt:lpstr>
      <vt:lpstr>'Exh. JAP-39 (HV RD)'!Print_Area</vt:lpstr>
      <vt:lpstr>'Exh. JAP-39 (LIGHT RD)'!Print_Area</vt:lpstr>
      <vt:lpstr>'Exh. JAP-39 (Prof-Prop)'!Print_Area</vt:lpstr>
      <vt:lpstr>'Exh. JAP-39 (PV RD)'!Print_Area</vt:lpstr>
      <vt:lpstr>'Exh. JAP-39 (Rate Spread)'!Print_Area</vt:lpstr>
      <vt:lpstr>'Exh. JAP-39 (Res RD)'!Print_Area</vt:lpstr>
      <vt:lpstr>'Exh. JAP-39 (SV RD)'!Print_Area</vt:lpstr>
      <vt:lpstr>'Exh. JAP-39 (Tariff)'!Print_Area</vt:lpstr>
      <vt:lpstr>'Exh. JAP-39 (TRANSP RD)'!Print_Area</vt:lpstr>
      <vt:lpstr>'Exh. JAP-39 (CAMP RD)'!Print_Titles</vt:lpstr>
      <vt:lpstr>'Exh. JAP-39 (HV RD)'!Print_Titles</vt:lpstr>
      <vt:lpstr>'Exh. JAP-39 (LIGHT RD)'!Print_Titles</vt:lpstr>
      <vt:lpstr>'Exh. JAP-39 (PV RD)'!Print_Titles</vt:lpstr>
      <vt:lpstr>'Exh. JAP-39 (Res RD)'!Print_Titles</vt:lpstr>
      <vt:lpstr>'Exh. JAP-39 (SV RD)'!Print_Titles</vt:lpstr>
      <vt:lpstr>'Exh. JAP-39 (Tariff)'!Print_Titles</vt:lpstr>
      <vt:lpstr>'Exh. JAP-39 (TRANSP RD)'!Print_Titles</vt:lpstr>
      <vt:lpstr>'Exh. JAP-39 (Prof-Prop)'!TABLEA</vt:lpstr>
    </vt:vector>
  </TitlesOfParts>
  <Company>PacifiCorp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Michael</dc:creator>
  <cp:lastModifiedBy>No Name</cp:lastModifiedBy>
  <cp:lastPrinted>2017-04-03T02:51:44Z</cp:lastPrinted>
  <dcterms:created xsi:type="dcterms:W3CDTF">2016-04-04T22:09:28Z</dcterms:created>
  <dcterms:modified xsi:type="dcterms:W3CDTF">2017-04-03T02:55:39Z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