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7680" windowHeight="8985" tabRatio="642"/>
  </bookViews>
  <sheets>
    <sheet name="Rate Spread" sheetId="74" r:id="rId1"/>
    <sheet name="Rate Impacts" sheetId="75" r:id="rId2"/>
  </sheets>
  <externalReferences>
    <externalReference r:id="rId3"/>
    <externalReference r:id="rId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Escalator">1.025</definedName>
    <definedName name="FTAX">[1]INPUTS!$F$35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'Rate Impacts'!$A$1:$K$40</definedName>
    <definedName name="_xlnm.Print_Area" localSheetId="0">'Rate Spread'!$A$1:$L$35</definedName>
    <definedName name="Print_Area_Reset">OFFSET(Full_Print,0,0,'[2]Res Bill Impact'!Last_Row)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TAX">[1]INPUTS!$F$34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D27" i="75" l="1"/>
  <c r="H18" i="75"/>
  <c r="D20" i="75"/>
  <c r="H11" i="75"/>
  <c r="H9" i="75"/>
  <c r="A8" i="75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K29" i="74"/>
  <c r="C35" i="75"/>
  <c r="K25" i="74"/>
  <c r="C31" i="75"/>
  <c r="K23" i="74"/>
  <c r="C29" i="75"/>
  <c r="K21" i="74"/>
  <c r="C25" i="75"/>
  <c r="K20" i="74"/>
  <c r="C24" i="75"/>
  <c r="C18" i="74"/>
  <c r="C22" i="75" s="1"/>
  <c r="K17" i="74"/>
  <c r="K14" i="74"/>
  <c r="C18" i="75"/>
  <c r="K13" i="74"/>
  <c r="C17" i="75"/>
  <c r="K12" i="74"/>
  <c r="C16" i="75"/>
  <c r="K11" i="74"/>
  <c r="C12" i="75"/>
  <c r="K10" i="74"/>
  <c r="C11" i="75"/>
  <c r="K9" i="74"/>
  <c r="C10" i="75"/>
  <c r="A9" i="74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K8" i="74"/>
  <c r="C9" i="75"/>
  <c r="A8" i="74"/>
  <c r="K7" i="74"/>
  <c r="K27" i="74" s="1"/>
  <c r="K31" i="74" s="1"/>
  <c r="F27" i="74"/>
  <c r="D27" i="74"/>
  <c r="C7" i="75"/>
  <c r="F31" i="74" l="1"/>
  <c r="H13" i="74"/>
  <c r="J13" i="74" s="1"/>
  <c r="L13" i="74" s="1"/>
  <c r="G17" i="75" s="1"/>
  <c r="H20" i="74"/>
  <c r="J20" i="74" s="1"/>
  <c r="L20" i="74" s="1"/>
  <c r="G24" i="75" s="1"/>
  <c r="D33" i="75"/>
  <c r="H10" i="74"/>
  <c r="J10" i="74" s="1"/>
  <c r="L10" i="74" s="1"/>
  <c r="G11" i="75" s="1"/>
  <c r="H11" i="74"/>
  <c r="J11" i="74" s="1"/>
  <c r="L11" i="74" s="1"/>
  <c r="G12" i="75" s="1"/>
  <c r="H17" i="74"/>
  <c r="J17" i="74" s="1"/>
  <c r="L17" i="74" s="1"/>
  <c r="G22" i="75" s="1"/>
  <c r="H25" i="75"/>
  <c r="D31" i="74"/>
  <c r="H21" i="74"/>
  <c r="J21" i="74" s="1"/>
  <c r="L21" i="74" s="1"/>
  <c r="H25" i="74"/>
  <c r="J25" i="74" s="1"/>
  <c r="L25" i="74" s="1"/>
  <c r="G31" i="75" s="1"/>
  <c r="I11" i="75"/>
  <c r="J11" i="75" s="1"/>
  <c r="K11" i="75" s="1"/>
  <c r="I35" i="75"/>
  <c r="H10" i="75"/>
  <c r="I12" i="75"/>
  <c r="D14" i="75"/>
  <c r="I22" i="75"/>
  <c r="H29" i="75"/>
  <c r="H35" i="75"/>
  <c r="H7" i="75"/>
  <c r="H16" i="75"/>
  <c r="D37" i="75"/>
  <c r="J22" i="75" l="1"/>
  <c r="K22" i="75" s="1"/>
  <c r="G27" i="74"/>
  <c r="H7" i="74"/>
  <c r="H12" i="75"/>
  <c r="H14" i="75" s="1"/>
  <c r="I31" i="75"/>
  <c r="H31" i="75"/>
  <c r="J35" i="75"/>
  <c r="H22" i="75"/>
  <c r="H14" i="74"/>
  <c r="J14" i="74" s="1"/>
  <c r="L14" i="74" s="1"/>
  <c r="G18" i="75" s="1"/>
  <c r="I18" i="75" s="1"/>
  <c r="J18" i="75" s="1"/>
  <c r="K18" i="75" s="1"/>
  <c r="H9" i="74"/>
  <c r="J9" i="74" s="1"/>
  <c r="L9" i="74" s="1"/>
  <c r="G10" i="75" s="1"/>
  <c r="I10" i="75" s="1"/>
  <c r="J10" i="75" s="1"/>
  <c r="K10" i="75" s="1"/>
  <c r="H8" i="74"/>
  <c r="J8" i="74" s="1"/>
  <c r="L8" i="74" s="1"/>
  <c r="G9" i="75" s="1"/>
  <c r="H18" i="74"/>
  <c r="E14" i="75"/>
  <c r="I17" i="75"/>
  <c r="E20" i="75"/>
  <c r="H12" i="74"/>
  <c r="J12" i="74" s="1"/>
  <c r="L12" i="74" s="1"/>
  <c r="G16" i="75" s="1"/>
  <c r="I24" i="75"/>
  <c r="E27" i="75"/>
  <c r="H24" i="75"/>
  <c r="H27" i="75" s="1"/>
  <c r="E27" i="74"/>
  <c r="H17" i="75"/>
  <c r="H20" i="75" s="1"/>
  <c r="L18" i="74"/>
  <c r="G25" i="75"/>
  <c r="I25" i="75" s="1"/>
  <c r="J25" i="75" s="1"/>
  <c r="K25" i="75" s="1"/>
  <c r="H23" i="74"/>
  <c r="J23" i="74" s="1"/>
  <c r="L23" i="74" s="1"/>
  <c r="G29" i="75" s="1"/>
  <c r="I29" i="75" s="1"/>
  <c r="J29" i="75" s="1"/>
  <c r="K29" i="75" s="1"/>
  <c r="E33" i="75" l="1"/>
  <c r="E37" i="75" s="1"/>
  <c r="H33" i="75"/>
  <c r="H37" i="75" s="1"/>
  <c r="I9" i="75"/>
  <c r="G14" i="75"/>
  <c r="J31" i="75"/>
  <c r="G27" i="75"/>
  <c r="I27" i="75"/>
  <c r="J24" i="75"/>
  <c r="G20" i="75"/>
  <c r="I16" i="75"/>
  <c r="H27" i="74"/>
  <c r="J7" i="74"/>
  <c r="J17" i="75"/>
  <c r="K17" i="75" s="1"/>
  <c r="K35" i="75"/>
  <c r="J12" i="75"/>
  <c r="K12" i="75" s="1"/>
  <c r="J16" i="75" l="1"/>
  <c r="I20" i="75"/>
  <c r="J9" i="75"/>
  <c r="I14" i="75"/>
  <c r="L7" i="74"/>
  <c r="G7" i="75" s="1"/>
  <c r="J27" i="74"/>
  <c r="L27" i="74" s="1"/>
  <c r="K24" i="75"/>
  <c r="J27" i="75"/>
  <c r="K27" i="75" s="1"/>
  <c r="K31" i="75"/>
  <c r="K9" i="75" l="1"/>
  <c r="J14" i="75"/>
  <c r="K14" i="75" s="1"/>
  <c r="I7" i="75"/>
  <c r="J7" i="75" s="1"/>
  <c r="K7" i="75" s="1"/>
  <c r="G33" i="75"/>
  <c r="J20" i="75"/>
  <c r="K16" i="75"/>
  <c r="I33" i="75" l="1"/>
  <c r="I37" i="75" s="1"/>
  <c r="K20" i="75"/>
  <c r="J33" i="75"/>
  <c r="K33" i="75" l="1"/>
  <c r="J37" i="75"/>
  <c r="K37" i="75" s="1"/>
</calcChain>
</file>

<file path=xl/sharedStrings.xml><?xml version="1.0" encoding="utf-8"?>
<sst xmlns="http://schemas.openxmlformats.org/spreadsheetml/2006/main" count="89" uniqueCount="72">
  <si>
    <t>CUSTOMER CLASS</t>
  </si>
  <si>
    <t>INCREASE (DECREASE) $</t>
  </si>
  <si>
    <t>INCREASE (DECREASE) %</t>
  </si>
  <si>
    <t>Residential</t>
  </si>
  <si>
    <t>Sec Gen Svc - Small</t>
  </si>
  <si>
    <t>Sec Gen Svc - Medium</t>
  </si>
  <si>
    <t>Sec Gen Svc - Large</t>
  </si>
  <si>
    <t>Sec Irrigation Svc</t>
  </si>
  <si>
    <t>Secondary Service Total</t>
  </si>
  <si>
    <t>Pri Gen Svc</t>
  </si>
  <si>
    <t>Pri Irrigation Svc</t>
  </si>
  <si>
    <t>Pri Interruptible Svc</t>
  </si>
  <si>
    <t>Primary Service Total</t>
  </si>
  <si>
    <t>HV Interruptible Svc</t>
  </si>
  <si>
    <t>HV Gen Svc</t>
  </si>
  <si>
    <t>High Voltage Service Total</t>
  </si>
  <si>
    <t>Lights</t>
  </si>
  <si>
    <t>Subtotal</t>
  </si>
  <si>
    <t>Total</t>
  </si>
  <si>
    <t>Customer Class</t>
  </si>
  <si>
    <t>Weighted Allocation</t>
  </si>
  <si>
    <t>Firm Resale</t>
  </si>
  <si>
    <t>449 / 459</t>
  </si>
  <si>
    <t>Puget Sound Energy</t>
  </si>
  <si>
    <t>a</t>
  </si>
  <si>
    <t>b</t>
  </si>
  <si>
    <t>c</t>
  </si>
  <si>
    <t>h</t>
  </si>
  <si>
    <t>e = b + d</t>
  </si>
  <si>
    <t>Campus Rate Total</t>
  </si>
  <si>
    <t>Line No.</t>
  </si>
  <si>
    <t>Campus Rate - Primary &amp; Secondary Voltage</t>
  </si>
  <si>
    <t>Campus Rate - High Voltage</t>
  </si>
  <si>
    <t>High Voltage Interruptible</t>
  </si>
  <si>
    <t>High Voltage General Service</t>
  </si>
  <si>
    <t>50-59</t>
  </si>
  <si>
    <t>Calculation of Schedule 95 Rate</t>
  </si>
  <si>
    <t>Rate Schedule</t>
  </si>
  <si>
    <t xml:space="preserve">f </t>
  </si>
  <si>
    <t>g = e * f</t>
  </si>
  <si>
    <t>Statement of Proforma and Proposed Revenues for Schedule 95</t>
  </si>
  <si>
    <t>d</t>
  </si>
  <si>
    <t>RATE SCHEDULE</t>
  </si>
  <si>
    <t>e = b + (a * c)</t>
  </si>
  <si>
    <t>f = b + (a * d)</t>
  </si>
  <si>
    <t>g = f - e</t>
  </si>
  <si>
    <t>h = g / e</t>
  </si>
  <si>
    <t>8 &amp; 24</t>
  </si>
  <si>
    <t>11, 25 &amp; 7A</t>
  </si>
  <si>
    <t>12, 26 &amp; 26P</t>
  </si>
  <si>
    <t>10 &amp; 31</t>
  </si>
  <si>
    <t>i = g / h</t>
  </si>
  <si>
    <t>Transportation</t>
  </si>
  <si>
    <t>F2016
Forecast
Year Ending December 2018</t>
  </si>
  <si>
    <t>Docket No.
UE-170033
Energy
Allocator
(Note 1)</t>
  </si>
  <si>
    <t>Docket No.
UE-170033
Demand
Allocator
(Note 3)</t>
  </si>
  <si>
    <t>25%
Demand
(Note 2)</t>
  </si>
  <si>
    <t>75%
Energy
(Note 2)</t>
  </si>
  <si>
    <t>Delivered kWh Test Year Ending  December 2018</t>
  </si>
  <si>
    <t>PCA $ per kWh Effective 2018</t>
  </si>
  <si>
    <t>PCA Requirement</t>
  </si>
  <si>
    <t>Note 1 Source:  Docket No. UE-170033 Cost of Service Workpapers, pages 27 &amp; 35, "Energy 2" Allocator</t>
  </si>
  <si>
    <t>Note 2 Source:  Docket No. UE-170033 Cost of Service Workpapers, pages 2 &amp; 9, "Peak Credit %" Allocator</t>
  </si>
  <si>
    <t>Note 3 Source:  Docket No. UE-170033 Cost of Service Workpapers, pages 27-28, "DEM-2B" Allocator</t>
  </si>
  <si>
    <t>Estimated Revenue
Year Ending
December 2018
(Note 1)</t>
  </si>
  <si>
    <t>REVENUE
(Including
Sch 95 Revenue Effective December 2017)</t>
  </si>
  <si>
    <t>REVENUE
(Including Proposed
Sch 95 Revenue Effective 2018)</t>
  </si>
  <si>
    <t>b = 75% * a / sum(a)</t>
  </si>
  <si>
    <t>d = 25% * c / sum(c)</t>
  </si>
  <si>
    <t>2018 PCA Revenue Deficit</t>
  </si>
  <si>
    <t>Sch 95
$ per kWh Effective December 2017</t>
  </si>
  <si>
    <t>Proposed 2018 Sch 95 $ per kWh Effective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</si>
</sst>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\ \¢"/>
    <numFmt numFmtId="167" formatCode="_(&quot;$&quot;* #,##0_);_(&quot;$&quot;* \(#,##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#."/>
    <numFmt numFmtId="175" formatCode="_(* ###0_);_(* \(###0\);_(* &quot;-&quot;_);_(@_)"/>
    <numFmt numFmtId="176" formatCode="0.00_)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&quot;$&quot;#,##0.0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name val="Arial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4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7" fillId="0" borderId="0"/>
    <xf numFmtId="171" fontId="4" fillId="0" borderId="0">
      <alignment horizontal="left" wrapText="1"/>
    </xf>
    <xf numFmtId="171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173" fontId="11" fillId="0" borderId="0" applyFill="0" applyBorder="0" applyAlignment="0"/>
    <xf numFmtId="41" fontId="4" fillId="20" borderId="0"/>
    <xf numFmtId="0" fontId="12" fillId="21" borderId="9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4" fontId="17" fillId="0" borderId="0">
      <protection locked="0"/>
    </xf>
    <xf numFmtId="0" fontId="15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4" fillId="0" borderId="0"/>
    <xf numFmtId="0" fontId="2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10" applyNumberFormat="0" applyAlignment="0" applyProtection="0">
      <alignment horizontal="left"/>
    </xf>
    <xf numFmtId="0" fontId="23" fillId="0" borderId="11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24" fillId="0" borderId="0"/>
    <xf numFmtId="40" fontId="24" fillId="0" borderId="0"/>
    <xf numFmtId="10" fontId="22" fillId="20" borderId="12" applyNumberFormat="0" applyBorder="0" applyAlignment="0" applyProtection="0"/>
    <xf numFmtId="10" fontId="22" fillId="20" borderId="12" applyNumberFormat="0" applyBorder="0" applyAlignment="0" applyProtection="0"/>
    <xf numFmtId="10" fontId="22" fillId="20" borderId="12" applyNumberFormat="0" applyBorder="0" applyAlignment="0" applyProtection="0"/>
    <xf numFmtId="10" fontId="22" fillId="20" borderId="12" applyNumberFormat="0" applyBorder="0" applyAlignment="0" applyProtection="0"/>
    <xf numFmtId="10" fontId="22" fillId="20" borderId="12" applyNumberFormat="0" applyBorder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41" fontId="26" fillId="23" borderId="14">
      <alignment horizontal="left"/>
      <protection locked="0"/>
    </xf>
    <xf numFmtId="10" fontId="26" fillId="23" borderId="14">
      <alignment horizontal="right"/>
      <protection locked="0"/>
    </xf>
    <xf numFmtId="0" fontId="22" fillId="22" borderId="0"/>
    <xf numFmtId="3" fontId="27" fillId="0" borderId="0" applyFill="0" applyBorder="0" applyAlignment="0" applyProtection="0"/>
    <xf numFmtId="44" fontId="3" fillId="0" borderId="15" applyNumberFormat="0" applyFont="0" applyAlignment="0">
      <alignment horizontal="center"/>
    </xf>
    <xf numFmtId="44" fontId="3" fillId="0" borderId="15" applyNumberFormat="0" applyFont="0" applyAlignment="0">
      <alignment horizontal="center"/>
    </xf>
    <xf numFmtId="44" fontId="3" fillId="0" borderId="15" applyNumberFormat="0" applyFont="0" applyAlignment="0">
      <alignment horizontal="center"/>
    </xf>
    <xf numFmtId="44" fontId="3" fillId="0" borderId="15" applyNumberFormat="0" applyFont="0" applyAlignment="0">
      <alignment horizontal="center"/>
    </xf>
    <xf numFmtId="44" fontId="3" fillId="0" borderId="16" applyNumberFormat="0" applyFont="0" applyAlignment="0">
      <alignment horizontal="center"/>
    </xf>
    <xf numFmtId="44" fontId="3" fillId="0" borderId="16" applyNumberFormat="0" applyFont="0" applyAlignment="0">
      <alignment horizontal="center"/>
    </xf>
    <xf numFmtId="44" fontId="3" fillId="0" borderId="16" applyNumberFormat="0" applyFont="0" applyAlignment="0">
      <alignment horizontal="center"/>
    </xf>
    <xf numFmtId="44" fontId="3" fillId="0" borderId="16" applyNumberFormat="0" applyFont="0" applyAlignment="0">
      <alignment horizontal="center"/>
    </xf>
    <xf numFmtId="0" fontId="28" fillId="24" borderId="0" applyNumberFormat="0" applyBorder="0" applyAlignment="0" applyProtection="0"/>
    <xf numFmtId="37" fontId="29" fillId="0" borderId="0"/>
    <xf numFmtId="176" fontId="30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4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8" fillId="25" borderId="17" applyNumberFormat="0" applyFont="0" applyAlignment="0" applyProtection="0"/>
    <xf numFmtId="0" fontId="32" fillId="26" borderId="18" applyNumberFormat="0" applyAlignment="0" applyProtection="0"/>
    <xf numFmtId="0" fontId="14" fillId="0" borderId="0"/>
    <xf numFmtId="0" fontId="14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6" fillId="0" borderId="14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14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">
      <alignment horizontal="center"/>
    </xf>
    <xf numFmtId="3" fontId="31" fillId="0" borderId="0" applyFont="0" applyFill="0" applyBorder="0" applyAlignment="0" applyProtection="0"/>
    <xf numFmtId="0" fontId="31" fillId="28" borderId="0" applyNumberFormat="0" applyFont="0" applyBorder="0" applyAlignment="0" applyProtection="0"/>
    <xf numFmtId="0" fontId="15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4" fillId="20" borderId="0"/>
    <xf numFmtId="42" fontId="4" fillId="20" borderId="19">
      <alignment vertical="center"/>
    </xf>
    <xf numFmtId="0" fontId="3" fillId="20" borderId="20" applyNumberFormat="0">
      <alignment horizontal="center" vertical="center" wrapText="1"/>
    </xf>
    <xf numFmtId="10" fontId="4" fillId="20" borderId="0"/>
    <xf numFmtId="178" fontId="4" fillId="20" borderId="0"/>
    <xf numFmtId="164" fontId="24" fillId="0" borderId="0" applyBorder="0" applyAlignment="0"/>
    <xf numFmtId="42" fontId="4" fillId="20" borderId="21">
      <alignment horizontal="left"/>
    </xf>
    <xf numFmtId="178" fontId="36" fillId="20" borderId="21">
      <alignment horizontal="left"/>
    </xf>
    <xf numFmtId="14" fontId="37" fillId="0" borderId="0" applyNumberFormat="0" applyFill="0" applyBorder="0" applyAlignment="0" applyProtection="0">
      <alignment horizontal="left"/>
    </xf>
    <xf numFmtId="179" fontId="4" fillId="0" borderId="0" applyFont="0" applyFill="0" applyAlignment="0">
      <alignment horizontal="right"/>
    </xf>
    <xf numFmtId="4" fontId="38" fillId="23" borderId="18" applyNumberFormat="0" applyProtection="0">
      <alignment vertical="center"/>
    </xf>
    <xf numFmtId="4" fontId="39" fillId="23" borderId="18" applyNumberFormat="0" applyProtection="0">
      <alignment vertical="center"/>
    </xf>
    <xf numFmtId="4" fontId="38" fillId="23" borderId="18" applyNumberFormat="0" applyProtection="0">
      <alignment horizontal="left" vertical="center" indent="1"/>
    </xf>
    <xf numFmtId="4" fontId="38" fillId="23" borderId="18" applyNumberFormat="0" applyProtection="0">
      <alignment horizontal="left" vertical="center" indent="1"/>
    </xf>
    <xf numFmtId="0" fontId="4" fillId="29" borderId="18" applyNumberFormat="0" applyProtection="0">
      <alignment horizontal="left" vertical="center" indent="1"/>
    </xf>
    <xf numFmtId="4" fontId="38" fillId="30" borderId="18" applyNumberFormat="0" applyProtection="0">
      <alignment horizontal="right" vertical="center"/>
    </xf>
    <xf numFmtId="4" fontId="38" fillId="31" borderId="18" applyNumberFormat="0" applyProtection="0">
      <alignment horizontal="right" vertical="center"/>
    </xf>
    <xf numFmtId="4" fontId="38" fillId="32" borderId="18" applyNumberFormat="0" applyProtection="0">
      <alignment horizontal="right" vertical="center"/>
    </xf>
    <xf numFmtId="4" fontId="38" fillId="33" borderId="18" applyNumberFormat="0" applyProtection="0">
      <alignment horizontal="right" vertical="center"/>
    </xf>
    <xf numFmtId="4" fontId="38" fillId="34" borderId="18" applyNumberFormat="0" applyProtection="0">
      <alignment horizontal="right" vertical="center"/>
    </xf>
    <xf numFmtId="4" fontId="38" fillId="35" borderId="18" applyNumberFormat="0" applyProtection="0">
      <alignment horizontal="right" vertical="center"/>
    </xf>
    <xf numFmtId="4" fontId="38" fillId="36" borderId="18" applyNumberFormat="0" applyProtection="0">
      <alignment horizontal="right" vertical="center"/>
    </xf>
    <xf numFmtId="4" fontId="38" fillId="37" borderId="18" applyNumberFormat="0" applyProtection="0">
      <alignment horizontal="right" vertical="center"/>
    </xf>
    <xf numFmtId="4" fontId="38" fillId="38" borderId="18" applyNumberFormat="0" applyProtection="0">
      <alignment horizontal="right" vertical="center"/>
    </xf>
    <xf numFmtId="4" fontId="40" fillId="39" borderId="18" applyNumberFormat="0" applyProtection="0">
      <alignment horizontal="left" vertical="center" indent="1"/>
    </xf>
    <xf numFmtId="4" fontId="38" fillId="40" borderId="22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0" fontId="4" fillId="29" borderId="18" applyNumberFormat="0" applyProtection="0">
      <alignment horizontal="left" vertical="center" indent="1"/>
    </xf>
    <xf numFmtId="4" fontId="38" fillId="40" borderId="18" applyNumberFormat="0" applyProtection="0">
      <alignment horizontal="left" vertical="center" indent="1"/>
    </xf>
    <xf numFmtId="4" fontId="38" fillId="42" borderId="18" applyNumberFormat="0" applyProtection="0">
      <alignment horizontal="left" vertical="center" indent="1"/>
    </xf>
    <xf numFmtId="0" fontId="4" fillId="42" borderId="18" applyNumberFormat="0" applyProtection="0">
      <alignment horizontal="left" vertical="center" indent="1"/>
    </xf>
    <xf numFmtId="0" fontId="4" fillId="42" borderId="18" applyNumberFormat="0" applyProtection="0">
      <alignment horizontal="left" vertical="center" indent="1"/>
    </xf>
    <xf numFmtId="0" fontId="4" fillId="43" borderId="18" applyNumberFormat="0" applyProtection="0">
      <alignment horizontal="left" vertical="center" indent="1"/>
    </xf>
    <xf numFmtId="0" fontId="4" fillId="43" borderId="18" applyNumberFormat="0" applyProtection="0">
      <alignment horizontal="left" vertical="center" indent="1"/>
    </xf>
    <xf numFmtId="0" fontId="4" fillId="22" borderId="18" applyNumberFormat="0" applyProtection="0">
      <alignment horizontal="left" vertical="center" indent="1"/>
    </xf>
    <xf numFmtId="0" fontId="4" fillId="22" borderId="18" applyNumberFormat="0" applyProtection="0">
      <alignment horizontal="left" vertical="center" indent="1"/>
    </xf>
    <xf numFmtId="0" fontId="4" fillId="29" borderId="18" applyNumberFormat="0" applyProtection="0">
      <alignment horizontal="left" vertical="center" indent="1"/>
    </xf>
    <xf numFmtId="0" fontId="4" fillId="29" borderId="18" applyNumberFormat="0" applyProtection="0">
      <alignment horizontal="left" vertical="center" indent="1"/>
    </xf>
    <xf numFmtId="4" fontId="38" fillId="44" borderId="18" applyNumberFormat="0" applyProtection="0">
      <alignment vertical="center"/>
    </xf>
    <xf numFmtId="4" fontId="39" fillId="44" borderId="18" applyNumberFormat="0" applyProtection="0">
      <alignment vertical="center"/>
    </xf>
    <xf numFmtId="4" fontId="38" fillId="44" borderId="18" applyNumberFormat="0" applyProtection="0">
      <alignment horizontal="left" vertical="center" indent="1"/>
    </xf>
    <xf numFmtId="4" fontId="38" fillId="44" borderId="18" applyNumberFormat="0" applyProtection="0">
      <alignment horizontal="left" vertical="center" indent="1"/>
    </xf>
    <xf numFmtId="4" fontId="38" fillId="40" borderId="18" applyNumberFormat="0" applyProtection="0">
      <alignment horizontal="right" vertical="center"/>
    </xf>
    <xf numFmtId="4" fontId="39" fillId="40" borderId="18" applyNumberFormat="0" applyProtection="0">
      <alignment horizontal="right" vertical="center"/>
    </xf>
    <xf numFmtId="0" fontId="4" fillId="29" borderId="18" applyNumberFormat="0" applyProtection="0">
      <alignment horizontal="left" vertical="center" indent="1"/>
    </xf>
    <xf numFmtId="0" fontId="4" fillId="29" borderId="18" applyNumberFormat="0" applyProtection="0">
      <alignment horizontal="left" vertical="center" indent="1"/>
    </xf>
    <xf numFmtId="0" fontId="42" fillId="0" borderId="0"/>
    <xf numFmtId="4" fontId="43" fillId="40" borderId="18" applyNumberFormat="0" applyProtection="0">
      <alignment horizontal="right" vertical="center"/>
    </xf>
    <xf numFmtId="39" fontId="4" fillId="45" borderId="0"/>
    <xf numFmtId="38" fontId="22" fillId="0" borderId="23"/>
    <xf numFmtId="38" fontId="22" fillId="0" borderId="23"/>
    <xf numFmtId="38" fontId="22" fillId="0" borderId="23"/>
    <xf numFmtId="38" fontId="22" fillId="0" borderId="23"/>
    <xf numFmtId="38" fontId="22" fillId="0" borderId="23"/>
    <xf numFmtId="38" fontId="24" fillId="0" borderId="21"/>
    <xf numFmtId="39" fontId="37" fillId="46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40" fontId="44" fillId="0" borderId="0" applyBorder="0">
      <alignment horizontal="right"/>
    </xf>
    <xf numFmtId="41" fontId="45" fillId="20" borderId="0">
      <alignment horizontal="left"/>
    </xf>
    <xf numFmtId="180" fontId="46" fillId="20" borderId="0">
      <alignment horizontal="left" vertical="center"/>
    </xf>
    <xf numFmtId="0" fontId="3" fillId="20" borderId="0">
      <alignment horizontal="left" wrapText="1"/>
    </xf>
    <xf numFmtId="0" fontId="47" fillId="0" borderId="0">
      <alignment horizontal="left" vertical="center"/>
    </xf>
    <xf numFmtId="0" fontId="13" fillId="0" borderId="24" applyNumberFormat="0" applyFont="0" applyFill="0" applyAlignment="0" applyProtection="0"/>
    <xf numFmtId="0" fontId="15" fillId="0" borderId="25"/>
    <xf numFmtId="0" fontId="48" fillId="0" borderId="0" applyNumberFormat="0" applyFill="0" applyBorder="0" applyAlignment="0" applyProtection="0"/>
  </cellStyleXfs>
  <cellXfs count="82">
    <xf numFmtId="0" fontId="0" fillId="0" borderId="0" xfId="0"/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50" fillId="0" borderId="0" xfId="0" applyFont="1" applyBorder="1"/>
    <xf numFmtId="0" fontId="49" fillId="0" borderId="5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50" fillId="0" borderId="0" xfId="0" applyNumberFormat="1" applyFont="1" applyBorder="1"/>
    <xf numFmtId="0" fontId="50" fillId="0" borderId="6" xfId="0" applyFont="1" applyBorder="1"/>
    <xf numFmtId="0" fontId="49" fillId="0" borderId="7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9" fillId="0" borderId="1" xfId="0" quotePrefix="1" applyFont="1" applyBorder="1" applyAlignment="1">
      <alignment horizontal="center" wrapText="1"/>
    </xf>
    <xf numFmtId="164" fontId="49" fillId="0" borderId="1" xfId="0" quotePrefix="1" applyNumberFormat="1" applyFont="1" applyFill="1" applyBorder="1" applyAlignment="1">
      <alignment horizontal="center" wrapText="1"/>
    </xf>
    <xf numFmtId="0" fontId="49" fillId="0" borderId="1" xfId="0" quotePrefix="1" applyFont="1" applyFill="1" applyBorder="1" applyAlignment="1">
      <alignment horizontal="center" wrapText="1"/>
    </xf>
    <xf numFmtId="164" fontId="49" fillId="0" borderId="1" xfId="0" quotePrefix="1" applyNumberFormat="1" applyFont="1" applyBorder="1" applyAlignment="1">
      <alignment horizontal="center" wrapText="1"/>
    </xf>
    <xf numFmtId="0" fontId="49" fillId="0" borderId="8" xfId="0" quotePrefix="1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49" fillId="0" borderId="5" xfId="0" applyFont="1" applyBorder="1" applyAlignment="1">
      <alignment horizontal="center" wrapText="1"/>
    </xf>
    <xf numFmtId="164" fontId="50" fillId="0" borderId="0" xfId="0" applyNumberFormat="1" applyFont="1" applyFill="1" applyBorder="1" applyAlignment="1">
      <alignment horizontal="center" wrapText="1"/>
    </xf>
    <xf numFmtId="0" fontId="50" fillId="0" borderId="0" xfId="0" quotePrefix="1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164" fontId="50" fillId="0" borderId="0" xfId="0" quotePrefix="1" applyNumberFormat="1" applyFont="1" applyBorder="1" applyAlignment="1">
      <alignment horizontal="center" wrapText="1"/>
    </xf>
    <xf numFmtId="0" fontId="50" fillId="0" borderId="0" xfId="0" quotePrefix="1" applyFont="1" applyBorder="1" applyAlignment="1">
      <alignment horizontal="center" wrapText="1"/>
    </xf>
    <xf numFmtId="0" fontId="50" fillId="0" borderId="6" xfId="0" quotePrefix="1" applyFont="1" applyBorder="1" applyAlignment="1">
      <alignment horizontal="center" wrapText="1"/>
    </xf>
    <xf numFmtId="0" fontId="49" fillId="0" borderId="5" xfId="0" applyFont="1" applyBorder="1" applyAlignment="1">
      <alignment horizontal="center"/>
    </xf>
    <xf numFmtId="0" fontId="50" fillId="0" borderId="3" xfId="0" applyFont="1" applyBorder="1"/>
    <xf numFmtId="0" fontId="50" fillId="0" borderId="3" xfId="0" applyFont="1" applyBorder="1" applyAlignment="1">
      <alignment horizontal="center"/>
    </xf>
    <xf numFmtId="164" fontId="50" fillId="0" borderId="3" xfId="0" applyNumberFormat="1" applyFont="1" applyBorder="1"/>
    <xf numFmtId="0" fontId="50" fillId="0" borderId="4" xfId="0" applyFont="1" applyBorder="1"/>
    <xf numFmtId="167" fontId="50" fillId="0" borderId="0" xfId="0" applyNumberFormat="1" applyFont="1" applyFill="1" applyBorder="1"/>
    <xf numFmtId="169" fontId="50" fillId="0" borderId="0" xfId="0" applyNumberFormat="1" applyFont="1" applyBorder="1"/>
    <xf numFmtId="167" fontId="50" fillId="0" borderId="0" xfId="0" applyNumberFormat="1" applyFont="1" applyBorder="1"/>
    <xf numFmtId="165" fontId="50" fillId="0" borderId="6" xfId="0" applyNumberFormat="1" applyFont="1" applyBorder="1" applyAlignment="1">
      <alignment horizontal="right"/>
    </xf>
    <xf numFmtId="166" fontId="50" fillId="0" borderId="0" xfId="0" applyNumberFormat="1" applyFont="1" applyBorder="1"/>
    <xf numFmtId="0" fontId="50" fillId="0" borderId="0" xfId="0" quotePrefix="1" applyFont="1" applyBorder="1" applyAlignment="1">
      <alignment horizontal="left" indent="1"/>
    </xf>
    <xf numFmtId="0" fontId="50" fillId="0" borderId="0" xfId="0" applyFont="1" applyBorder="1" applyAlignment="1">
      <alignment horizontal="left" indent="1"/>
    </xf>
    <xf numFmtId="0" fontId="50" fillId="0" borderId="0" xfId="0" quotePrefix="1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6" xfId="0" applyFont="1" applyBorder="1" applyAlignment="1">
      <alignment horizontal="right"/>
    </xf>
    <xf numFmtId="0" fontId="50" fillId="0" borderId="7" xfId="0" applyFont="1" applyBorder="1"/>
    <xf numFmtId="0" fontId="50" fillId="0" borderId="1" xfId="0" applyFont="1" applyBorder="1"/>
    <xf numFmtId="0" fontId="50" fillId="0" borderId="1" xfId="0" applyFont="1" applyBorder="1" applyAlignment="1">
      <alignment horizontal="center"/>
    </xf>
    <xf numFmtId="164" fontId="50" fillId="0" borderId="1" xfId="0" applyNumberFormat="1" applyFont="1" applyBorder="1"/>
    <xf numFmtId="0" fontId="50" fillId="0" borderId="8" xfId="0" applyFont="1" applyBorder="1"/>
    <xf numFmtId="0" fontId="50" fillId="0" borderId="0" xfId="0" quotePrefix="1" applyFont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49" fillId="0" borderId="3" xfId="0" quotePrefix="1" applyFont="1" applyFill="1" applyBorder="1" applyAlignment="1">
      <alignment horizontal="center"/>
    </xf>
    <xf numFmtId="0" fontId="49" fillId="0" borderId="4" xfId="0" quotePrefix="1" applyFont="1" applyFill="1" applyBorder="1" applyAlignment="1">
      <alignment horizontal="center"/>
    </xf>
    <xf numFmtId="0" fontId="49" fillId="0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6" xfId="0" applyFont="1" applyFill="1" applyBorder="1" applyAlignment="1">
      <alignment horizontal="center"/>
    </xf>
    <xf numFmtId="0" fontId="50" fillId="0" borderId="5" xfId="0" applyFont="1" applyBorder="1"/>
    <xf numFmtId="0" fontId="49" fillId="0" borderId="7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0" fontId="50" fillId="0" borderId="5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164" fontId="50" fillId="0" borderId="0" xfId="0" applyNumberFormat="1" applyFont="1" applyFill="1" applyBorder="1" applyAlignment="1">
      <alignment horizontal="center" vertical="top" wrapText="1"/>
    </xf>
    <xf numFmtId="164" fontId="50" fillId="0" borderId="0" xfId="0" quotePrefix="1" applyNumberFormat="1" applyFont="1" applyFill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 wrapText="1"/>
    </xf>
    <xf numFmtId="0" fontId="50" fillId="0" borderId="0" xfId="0" quotePrefix="1" applyFont="1" applyBorder="1" applyAlignment="1">
      <alignment horizontal="center" vertical="top" wrapText="1"/>
    </xf>
    <xf numFmtId="0" fontId="50" fillId="0" borderId="6" xfId="0" quotePrefix="1" applyFont="1" applyBorder="1" applyAlignment="1">
      <alignment horizontal="center" vertical="top" wrapText="1"/>
    </xf>
    <xf numFmtId="164" fontId="50" fillId="0" borderId="0" xfId="0" applyNumberFormat="1" applyFont="1" applyBorder="1" applyAlignment="1">
      <alignment horizontal="center" wrapText="1"/>
    </xf>
    <xf numFmtId="0" fontId="50" fillId="0" borderId="6" xfId="0" applyFont="1" applyBorder="1" applyAlignment="1">
      <alignment horizontal="center" wrapText="1"/>
    </xf>
    <xf numFmtId="164" fontId="50" fillId="0" borderId="0" xfId="0" applyNumberFormat="1" applyFont="1" applyFill="1" applyBorder="1"/>
    <xf numFmtId="168" fontId="50" fillId="0" borderId="0" xfId="0" applyNumberFormat="1" applyFont="1" applyFill="1" applyBorder="1"/>
    <xf numFmtId="168" fontId="50" fillId="0" borderId="0" xfId="0" applyNumberFormat="1" applyFont="1" applyBorder="1"/>
    <xf numFmtId="169" fontId="50" fillId="0" borderId="6" xfId="0" applyNumberFormat="1" applyFont="1" applyBorder="1" applyAlignment="1">
      <alignment horizontal="center"/>
    </xf>
    <xf numFmtId="166" fontId="50" fillId="0" borderId="6" xfId="0" applyNumberFormat="1" applyFont="1" applyBorder="1" applyAlignment="1">
      <alignment horizontal="center"/>
    </xf>
    <xf numFmtId="0" fontId="50" fillId="0" borderId="0" xfId="0" quotePrefix="1" applyFont="1" applyBorder="1" applyAlignment="1">
      <alignment horizontal="center"/>
    </xf>
    <xf numFmtId="0" fontId="50" fillId="0" borderId="0" xfId="0" quotePrefix="1" applyFont="1" applyBorder="1" applyAlignment="1"/>
    <xf numFmtId="0" fontId="50" fillId="0" borderId="6" xfId="0" applyFont="1" applyBorder="1" applyAlignment="1">
      <alignment horizontal="center"/>
    </xf>
    <xf numFmtId="0" fontId="50" fillId="0" borderId="0" xfId="0" applyFont="1"/>
    <xf numFmtId="0" fontId="49" fillId="0" borderId="5" xfId="0" quotePrefix="1" applyFont="1" applyFill="1" applyBorder="1" applyAlignment="1">
      <alignment horizontal="left"/>
    </xf>
    <xf numFmtId="0" fontId="49" fillId="0" borderId="0" xfId="0" quotePrefix="1" applyFont="1" applyFill="1" applyBorder="1" applyAlignment="1">
      <alignment horizontal="left"/>
    </xf>
    <xf numFmtId="0" fontId="49" fillId="0" borderId="6" xfId="0" quotePrefix="1" applyFont="1" applyFill="1" applyBorder="1" applyAlignment="1">
      <alignment horizontal="left"/>
    </xf>
    <xf numFmtId="0" fontId="49" fillId="0" borderId="7" xfId="0" quotePrefix="1" applyFont="1" applyFill="1" applyBorder="1" applyAlignment="1">
      <alignment horizontal="left"/>
    </xf>
    <xf numFmtId="0" fontId="49" fillId="0" borderId="1" xfId="0" quotePrefix="1" applyFont="1" applyFill="1" applyBorder="1" applyAlignment="1">
      <alignment horizontal="left"/>
    </xf>
    <xf numFmtId="0" fontId="49" fillId="0" borderId="8" xfId="0" quotePrefix="1" applyFont="1" applyFill="1" applyBorder="1" applyAlignment="1">
      <alignment horizontal="left"/>
    </xf>
  </cellXfs>
  <cellStyles count="414">
    <cellStyle name="_x0013_" xfId="11"/>
    <cellStyle name="_4.06E Pass Throughs" xfId="12"/>
    <cellStyle name="_4.06E Pass Throughs_04 07E Wild Horse Wind Expansion (C) (2)" xfId="13"/>
    <cellStyle name="_4.06E Pass Throughs_04 07E Wild Horse Wind Expansion (C) (2)_Electric Rev Req Model (2009 GRC) " xfId="14"/>
    <cellStyle name="_4.06E Pass Throughs_Production Adj 4.37" xfId="15"/>
    <cellStyle name="_4.06E Pass Throughs_Purchased Power Adj 4.03" xfId="16"/>
    <cellStyle name="_4.06E Pass Throughs_ROR 5.02" xfId="17"/>
    <cellStyle name="_4.13E Montana Energy Tax" xfId="18"/>
    <cellStyle name="_4.13E Montana Energy Tax_04 07E Wild Horse Wind Expansion (C) (2)" xfId="19"/>
    <cellStyle name="_4.13E Montana Energy Tax_04 07E Wild Horse Wind Expansion (C) (2)_Electric Rev Req Model (2009 GRC) " xfId="20"/>
    <cellStyle name="_4.13E Montana Energy Tax_Production Adj 4.37" xfId="21"/>
    <cellStyle name="_4.13E Montana Energy Tax_Purchased Power Adj 4.03" xfId="22"/>
    <cellStyle name="_4.13E Montana Energy Tax_ROR 5.02" xfId="23"/>
    <cellStyle name="_Book1" xfId="24"/>
    <cellStyle name="_Book1 (2)" xfId="25"/>
    <cellStyle name="_Book1 (2)_04 07E Wild Horse Wind Expansion (C) (2)" xfId="26"/>
    <cellStyle name="_Book1 (2)_04 07E Wild Horse Wind Expansion (C) (2)_Electric Rev Req Model (2009 GRC) " xfId="27"/>
    <cellStyle name="_Book1 (2)_Production Adj 4.37" xfId="28"/>
    <cellStyle name="_Book1 (2)_Purchased Power Adj 4.03" xfId="29"/>
    <cellStyle name="_Book1 (2)_ROR 5.02" xfId="30"/>
    <cellStyle name="_Book1_Production Adj 4.37" xfId="31"/>
    <cellStyle name="_Book1_Purchased Power Adj 4.03" xfId="32"/>
    <cellStyle name="_Book1_ROR 5.02" xfId="33"/>
    <cellStyle name="_Book2" xfId="34"/>
    <cellStyle name="_Book2_04 07E Wild Horse Wind Expansion (C) (2)" xfId="35"/>
    <cellStyle name="_Book2_04 07E Wild Horse Wind Expansion (C) (2)_Electric Rev Req Model (2009 GRC) " xfId="36"/>
    <cellStyle name="_Book2_Production Adj 4.37" xfId="37"/>
    <cellStyle name="_Book2_Purchased Power Adj 4.03" xfId="38"/>
    <cellStyle name="_Book2_ROR 5.02" xfId="39"/>
    <cellStyle name="_Chelan Debt Forecast 12.19.05" xfId="40"/>
    <cellStyle name="_Chelan Debt Forecast 12.19.05_Production Adj 4.37" xfId="41"/>
    <cellStyle name="_Chelan Debt Forecast 12.19.05_Purchased Power Adj 4.03" xfId="42"/>
    <cellStyle name="_Chelan Debt Forecast 12.19.05_ROR 5.02" xfId="43"/>
    <cellStyle name="_Costs not in AURORA 06GRC" xfId="44"/>
    <cellStyle name="_Costs not in AURORA 06GRC_04 07E Wild Horse Wind Expansion (C) (2)" xfId="45"/>
    <cellStyle name="_Costs not in AURORA 06GRC_04 07E Wild Horse Wind Expansion (C) (2)_Electric Rev Req Model (2009 GRC) " xfId="46"/>
    <cellStyle name="_Costs not in AURORA 06GRC_Production Adj 4.37" xfId="47"/>
    <cellStyle name="_Costs not in AURORA 06GRC_Purchased Power Adj 4.03" xfId="48"/>
    <cellStyle name="_Costs not in AURORA 06GRC_ROR 5.02" xfId="49"/>
    <cellStyle name="_Costs not in AURORA 2006GRC 6.15.06" xfId="50"/>
    <cellStyle name="_Costs not in AURORA 2006GRC 6.15.06_04 07E Wild Horse Wind Expansion (C) (2)" xfId="51"/>
    <cellStyle name="_Costs not in AURORA 2006GRC 6.15.06_04 07E Wild Horse Wind Expansion (C) (2)_Electric Rev Req Model (2009 GRC) " xfId="52"/>
    <cellStyle name="_Costs not in AURORA 2006GRC 6.15.06_Production Adj 4.37" xfId="53"/>
    <cellStyle name="_Costs not in AURORA 2006GRC 6.15.06_Purchased Power Adj 4.03" xfId="54"/>
    <cellStyle name="_Costs not in AURORA 2006GRC 6.15.06_ROR 5.02" xfId="55"/>
    <cellStyle name="_Costs not in AURORA 2006GRC w gas price updated" xfId="56"/>
    <cellStyle name="_Costs not in AURORA 2006GRC w gas price updated_Electric Rev Req Model (2009 GRC) " xfId="57"/>
    <cellStyle name="_Costs not in AURORA 2007 Rate Case" xfId="58"/>
    <cellStyle name="_Costs not in AURORA 2007 Rate Case_Production Adj 4.37" xfId="59"/>
    <cellStyle name="_Costs not in AURORA 2007 Rate Case_Purchased Power Adj 4.03" xfId="60"/>
    <cellStyle name="_Costs not in AURORA 2007 Rate Case_ROR 5.02" xfId="61"/>
    <cellStyle name="_Costs not in KWI3000 '06Budget" xfId="62"/>
    <cellStyle name="_Costs not in KWI3000 '06Budget_Production Adj 4.37" xfId="63"/>
    <cellStyle name="_Costs not in KWI3000 '06Budget_Purchased Power Adj 4.03" xfId="64"/>
    <cellStyle name="_Costs not in KWI3000 '06Budget_ROR 5.02" xfId="65"/>
    <cellStyle name="_DEM-WP (C) Power Cost 2006GRC Order" xfId="66"/>
    <cellStyle name="_DEM-WP (C) Power Cost 2006GRC Order_04 07E Wild Horse Wind Expansion (C) (2)" xfId="67"/>
    <cellStyle name="_DEM-WP (C) Power Cost 2006GRC Order_04 07E Wild Horse Wind Expansion (C) (2)_Electric Rev Req Model (2009 GRC) " xfId="68"/>
    <cellStyle name="_DEM-WP (C) Power Cost 2006GRC Order_Production Adj 4.37" xfId="69"/>
    <cellStyle name="_DEM-WP (C) Power Cost 2006GRC Order_Purchased Power Adj 4.03" xfId="70"/>
    <cellStyle name="_DEM-WP (C) Power Cost 2006GRC Order_ROR 5.02" xfId="71"/>
    <cellStyle name="_DEM-WP Revised (HC) Wild Horse 2006GRC" xfId="72"/>
    <cellStyle name="_DEM-WP Revised (HC) Wild Horse 2006GRC_Electric Rev Req Model (2009 GRC) " xfId="73"/>
    <cellStyle name="_DEM-WP(C) Costs not in AURORA 2006GRC" xfId="74"/>
    <cellStyle name="_DEM-WP(C) Costs not in AURORA 2006GRC_Production Adj 4.37" xfId="75"/>
    <cellStyle name="_DEM-WP(C) Costs not in AURORA 2006GRC_Purchased Power Adj 4.03" xfId="76"/>
    <cellStyle name="_DEM-WP(C) Costs not in AURORA 2006GRC_ROR 5.02" xfId="77"/>
    <cellStyle name="_DEM-WP(C) Costs not in AURORA 2007GRC" xfId="78"/>
    <cellStyle name="_DEM-WP(C) Costs not in AURORA 2007GRC_Electric Rev Req Model (2009 GRC) " xfId="79"/>
    <cellStyle name="_DEM-WP(C) Costs not in AURORA 2007PCORC-5.07Update" xfId="80"/>
    <cellStyle name="_DEM-WP(C) Costs not in AURORA 2007PCORC-5.07Update_Electric Rev Req Model (2009 GRC) " xfId="81"/>
    <cellStyle name="_DEM-WP(C) Sumas Proforma 11.5.07" xfId="82"/>
    <cellStyle name="_DEM-WP(C) Westside Hydro Data_051007" xfId="83"/>
    <cellStyle name="_DEM-WP(C) Westside Hydro Data_051007_Electric Rev Req Model (2009 GRC) " xfId="84"/>
    <cellStyle name="_x0013__Electric Rev Req Model (2009 GRC) " xfId="85"/>
    <cellStyle name="_Fuel Prices 4-14" xfId="86"/>
    <cellStyle name="_Fuel Prices 4-14_04 07E Wild Horse Wind Expansion (C) (2)" xfId="87"/>
    <cellStyle name="_Fuel Prices 4-14_04 07E Wild Horse Wind Expansion (C) (2)_Electric Rev Req Model (2009 GRC) " xfId="88"/>
    <cellStyle name="_Fuel Prices 4-14_Production Adj 4.37" xfId="89"/>
    <cellStyle name="_Fuel Prices 4-14_Purchased Power Adj 4.03" xfId="90"/>
    <cellStyle name="_Fuel Prices 4-14_ROR 5.02" xfId="91"/>
    <cellStyle name="_Fuel Prices 4-14_Sch 40 Interim Energy Rates " xfId="92"/>
    <cellStyle name="_NIM 06 Base Case Current Trends" xfId="93"/>
    <cellStyle name="_NIM 06 Base Case Current Trends_Electric Rev Req Model (2009 GRC) " xfId="94"/>
    <cellStyle name="_Portfolio SPlan Base Case.xls Chart 1" xfId="95"/>
    <cellStyle name="_Portfolio SPlan Base Case.xls Chart 1_Electric Rev Req Model (2009 GRC) " xfId="96"/>
    <cellStyle name="_Portfolio SPlan Base Case.xls Chart 2" xfId="97"/>
    <cellStyle name="_Portfolio SPlan Base Case.xls Chart 2_Electric Rev Req Model (2009 GRC) " xfId="98"/>
    <cellStyle name="_Portfolio SPlan Base Case.xls Chart 3" xfId="99"/>
    <cellStyle name="_Portfolio SPlan Base Case.xls Chart 3_Electric Rev Req Model (2009 GRC) " xfId="100"/>
    <cellStyle name="_Power Cost Value Copy 11.30.05 gas 1.09.06 AURORA at 1.10.06" xfId="101"/>
    <cellStyle name="_Power Cost Value Copy 11.30.05 gas 1.09.06 AURORA at 1.10.06_04 07E Wild Horse Wind Expansion (C) (2)" xfId="102"/>
    <cellStyle name="_Power Cost Value Copy 11.30.05 gas 1.09.06 AURORA at 1.10.06_04 07E Wild Horse Wind Expansion (C) (2)_Electric Rev Req Model (2009 GRC) " xfId="103"/>
    <cellStyle name="_Power Cost Value Copy 11.30.05 gas 1.09.06 AURORA at 1.10.06_Production Adj 4.37" xfId="104"/>
    <cellStyle name="_Power Cost Value Copy 11.30.05 gas 1.09.06 AURORA at 1.10.06_Purchased Power Adj 4.03" xfId="105"/>
    <cellStyle name="_Power Cost Value Copy 11.30.05 gas 1.09.06 AURORA at 1.10.06_ROR 5.02" xfId="106"/>
    <cellStyle name="_Power Cost Value Copy 11.30.05 gas 1.09.06 AURORA at 1.10.06_Sch 40 Interim Energy Rates " xfId="107"/>
    <cellStyle name="_Recon to Darrin's 5.11.05 proforma" xfId="108"/>
    <cellStyle name="_Recon to Darrin's 5.11.05 proforma_Production Adj 4.37" xfId="109"/>
    <cellStyle name="_Recon to Darrin's 5.11.05 proforma_Purchased Power Adj 4.03" xfId="110"/>
    <cellStyle name="_Recon to Darrin's 5.11.05 proforma_ROR 5.02" xfId="111"/>
    <cellStyle name="_Tenaska Comparison" xfId="112"/>
    <cellStyle name="_Tenaska Comparison_Production Adj 4.37" xfId="113"/>
    <cellStyle name="_Tenaska Comparison_Purchased Power Adj 4.03" xfId="114"/>
    <cellStyle name="_Tenaska Comparison_ROR 5.02" xfId="115"/>
    <cellStyle name="_Value Copy 11 30 05 gas 12 09 05 AURORA at 12 14 05" xfId="116"/>
    <cellStyle name="_Value Copy 11 30 05 gas 12 09 05 AURORA at 12 14 05_04 07E Wild Horse Wind Expansion (C) (2)" xfId="117"/>
    <cellStyle name="_Value Copy 11 30 05 gas 12 09 05 AURORA at 12 14 05_04 07E Wild Horse Wind Expansion (C) (2)_Electric Rev Req Model (2009 GRC) " xfId="118"/>
    <cellStyle name="_Value Copy 11 30 05 gas 12 09 05 AURORA at 12 14 05_Production Adj 4.37" xfId="119"/>
    <cellStyle name="_Value Copy 11 30 05 gas 12 09 05 AURORA at 12 14 05_Purchased Power Adj 4.03" xfId="120"/>
    <cellStyle name="_Value Copy 11 30 05 gas 12 09 05 AURORA at 12 14 05_ROR 5.02" xfId="121"/>
    <cellStyle name="_Value Copy 11 30 05 gas 12 09 05 AURORA at 12 14 05_Sch 40 Interim Energy Rates " xfId="122"/>
    <cellStyle name="_VC 6.15.06 update on 06GRC power costs.xls Chart 1" xfId="123"/>
    <cellStyle name="_VC 6.15.06 update on 06GRC power costs.xls Chart 1_04 07E Wild Horse Wind Expansion (C) (2)" xfId="124"/>
    <cellStyle name="_VC 6.15.06 update on 06GRC power costs.xls Chart 1_04 07E Wild Horse Wind Expansion (C) (2)_Electric Rev Req Model (2009 GRC) " xfId="125"/>
    <cellStyle name="_VC 6.15.06 update on 06GRC power costs.xls Chart 1_Production Adj 4.37" xfId="126"/>
    <cellStyle name="_VC 6.15.06 update on 06GRC power costs.xls Chart 1_Purchased Power Adj 4.03" xfId="127"/>
    <cellStyle name="_VC 6.15.06 update on 06GRC power costs.xls Chart 1_ROR 5.02" xfId="128"/>
    <cellStyle name="_VC 6.15.06 update on 06GRC power costs.xls Chart 2" xfId="129"/>
    <cellStyle name="_VC 6.15.06 update on 06GRC power costs.xls Chart 2_04 07E Wild Horse Wind Expansion (C) (2)" xfId="130"/>
    <cellStyle name="_VC 6.15.06 update on 06GRC power costs.xls Chart 2_04 07E Wild Horse Wind Expansion (C) (2)_Electric Rev Req Model (2009 GRC) " xfId="131"/>
    <cellStyle name="_VC 6.15.06 update on 06GRC power costs.xls Chart 2_Production Adj 4.37" xfId="132"/>
    <cellStyle name="_VC 6.15.06 update on 06GRC power costs.xls Chart 2_Purchased Power Adj 4.03" xfId="133"/>
    <cellStyle name="_VC 6.15.06 update on 06GRC power costs.xls Chart 2_ROR 5.02" xfId="134"/>
    <cellStyle name="_VC 6.15.06 update on 06GRC power costs.xls Chart 3" xfId="135"/>
    <cellStyle name="_VC 6.15.06 update on 06GRC power costs.xls Chart 3_04 07E Wild Horse Wind Expansion (C) (2)" xfId="136"/>
    <cellStyle name="_VC 6.15.06 update on 06GRC power costs.xls Chart 3_04 07E Wild Horse Wind Expansion (C) (2)_Electric Rev Req Model (2009 GRC) " xfId="137"/>
    <cellStyle name="_VC 6.15.06 update on 06GRC power costs.xls Chart 3_Production Adj 4.37" xfId="138"/>
    <cellStyle name="_VC 6.15.06 update on 06GRC power costs.xls Chart 3_Purchased Power Adj 4.03" xfId="139"/>
    <cellStyle name="_VC 6.15.06 update on 06GRC power costs.xls Chart 3_ROR 5.02" xfId="140"/>
    <cellStyle name="0,0_x000d__x000a_NA_x000d__x000a_" xfId="141"/>
    <cellStyle name="20% - Accent1 2" xfId="142"/>
    <cellStyle name="20% - Accent1 3" xfId="143"/>
    <cellStyle name="20% - Accent1 4" xfId="144"/>
    <cellStyle name="20% - Accent2 2" xfId="145"/>
    <cellStyle name="20% - Accent2 3" xfId="146"/>
    <cellStyle name="20% - Accent2 4" xfId="147"/>
    <cellStyle name="20% - Accent3 2" xfId="148"/>
    <cellStyle name="20% - Accent3 3" xfId="149"/>
    <cellStyle name="20% - Accent3 4" xfId="150"/>
    <cellStyle name="20% - Accent4 2" xfId="151"/>
    <cellStyle name="20% - Accent4 3" xfId="152"/>
    <cellStyle name="20% - Accent4 4" xfId="153"/>
    <cellStyle name="20% - Accent5 2" xfId="154"/>
    <cellStyle name="20% - Accent5 3" xfId="155"/>
    <cellStyle name="20% - Accent5 4" xfId="156"/>
    <cellStyle name="20% - Accent6 2" xfId="157"/>
    <cellStyle name="20% - Accent6 3" xfId="158"/>
    <cellStyle name="20% - Accent6 4" xfId="159"/>
    <cellStyle name="40% - Accent1 2" xfId="160"/>
    <cellStyle name="40% - Accent1 3" xfId="161"/>
    <cellStyle name="40% - Accent1 4" xfId="162"/>
    <cellStyle name="40% - Accent2 2" xfId="163"/>
    <cellStyle name="40% - Accent2 3" xfId="164"/>
    <cellStyle name="40% - Accent2 4" xfId="165"/>
    <cellStyle name="40% - Accent3 2" xfId="166"/>
    <cellStyle name="40% - Accent3 3" xfId="167"/>
    <cellStyle name="40% - Accent3 4" xfId="168"/>
    <cellStyle name="40% - Accent4 2" xfId="169"/>
    <cellStyle name="40% - Accent4 3" xfId="170"/>
    <cellStyle name="40% - Accent4 4" xfId="171"/>
    <cellStyle name="40% - Accent5 2" xfId="172"/>
    <cellStyle name="40% - Accent5 3" xfId="173"/>
    <cellStyle name="40% - Accent5 4" xfId="174"/>
    <cellStyle name="40% - Accent6 2" xfId="175"/>
    <cellStyle name="40% - Accent6 3" xfId="176"/>
    <cellStyle name="40% - Accent6 4" xfId="177"/>
    <cellStyle name="60% - Accent1 2" xfId="178"/>
    <cellStyle name="60% - Accent2 2" xfId="179"/>
    <cellStyle name="60% - Accent3 2" xfId="180"/>
    <cellStyle name="60% - Accent4 2" xfId="181"/>
    <cellStyle name="60% - Accent5 2" xfId="182"/>
    <cellStyle name="60% - Accent6 2" xfId="183"/>
    <cellStyle name="Accent1 2" xfId="184"/>
    <cellStyle name="Accent2 2" xfId="185"/>
    <cellStyle name="Accent3 2" xfId="186"/>
    <cellStyle name="Accent4 2" xfId="187"/>
    <cellStyle name="Accent5 2" xfId="188"/>
    <cellStyle name="Accent6 2" xfId="189"/>
    <cellStyle name="Bad 2" xfId="190"/>
    <cellStyle name="Calc Currency (0)" xfId="191"/>
    <cellStyle name="Calculation 2" xfId="192"/>
    <cellStyle name="Check Cell 2" xfId="193"/>
    <cellStyle name="CheckCell" xfId="194"/>
    <cellStyle name="Comma 10" xfId="195"/>
    <cellStyle name="Comma 10 2 2 2" xfId="3"/>
    <cellStyle name="Comma 11" xfId="196"/>
    <cellStyle name="Comma 2" xfId="197"/>
    <cellStyle name="Comma 2 2" xfId="198"/>
    <cellStyle name="Comma 2 3" xfId="5"/>
    <cellStyle name="Comma 3" xfId="199"/>
    <cellStyle name="Comma 4" xfId="200"/>
    <cellStyle name="Comma 5" xfId="201"/>
    <cellStyle name="Comma 6" xfId="202"/>
    <cellStyle name="Comma 7" xfId="203"/>
    <cellStyle name="Comma 8" xfId="204"/>
    <cellStyle name="Comma 8 2" xfId="205"/>
    <cellStyle name="Comma 9" xfId="206"/>
    <cellStyle name="Comma0" xfId="207"/>
    <cellStyle name="Comma0 - Style2" xfId="208"/>
    <cellStyle name="Comma0 - Style4" xfId="209"/>
    <cellStyle name="Comma0 - Style5" xfId="210"/>
    <cellStyle name="Comma0 2" xfId="211"/>
    <cellStyle name="Comma0 3" xfId="212"/>
    <cellStyle name="Comma0 4" xfId="213"/>
    <cellStyle name="Comma0_00COS Ind Allocators" xfId="214"/>
    <cellStyle name="Comma1 - Style1" xfId="215"/>
    <cellStyle name="Copied" xfId="216"/>
    <cellStyle name="COST1" xfId="217"/>
    <cellStyle name="Curren - Style1" xfId="218"/>
    <cellStyle name="Curren - Style2" xfId="219"/>
    <cellStyle name="Curren - Style5" xfId="220"/>
    <cellStyle name="Curren - Style6" xfId="221"/>
    <cellStyle name="Currency 10" xfId="222"/>
    <cellStyle name="Currency 10 2 2" xfId="2"/>
    <cellStyle name="Currency 10 3 4" xfId="4"/>
    <cellStyle name="Currency 2" xfId="223"/>
    <cellStyle name="Currency 3" xfId="224"/>
    <cellStyle name="Currency 3 2" xfId="225"/>
    <cellStyle name="Currency 4" xfId="226"/>
    <cellStyle name="Currency 5" xfId="227"/>
    <cellStyle name="Currency 6" xfId="228"/>
    <cellStyle name="Currency 7" xfId="229"/>
    <cellStyle name="Currency 8" xfId="230"/>
    <cellStyle name="Currency 9" xfId="231"/>
    <cellStyle name="Currency0" xfId="232"/>
    <cellStyle name="Date" xfId="233"/>
    <cellStyle name="Date 2" xfId="234"/>
    <cellStyle name="Date 3" xfId="235"/>
    <cellStyle name="Date 4" xfId="236"/>
    <cellStyle name="Entered" xfId="237"/>
    <cellStyle name="Explanatory Text 2" xfId="238"/>
    <cellStyle name="Fixed" xfId="239"/>
    <cellStyle name="Fixed3 - Style3" xfId="240"/>
    <cellStyle name="Good 2" xfId="241"/>
    <cellStyle name="Grey" xfId="242"/>
    <cellStyle name="Grey 2" xfId="243"/>
    <cellStyle name="Grey 3" xfId="244"/>
    <cellStyle name="Grey 4" xfId="245"/>
    <cellStyle name="Grey_ERB" xfId="246"/>
    <cellStyle name="Header1" xfId="247"/>
    <cellStyle name="Header2" xfId="248"/>
    <cellStyle name="Heading 1 2" xfId="249"/>
    <cellStyle name="Heading 2 2" xfId="250"/>
    <cellStyle name="Heading1" xfId="251"/>
    <cellStyle name="Heading2" xfId="252"/>
    <cellStyle name="Input [yellow]" xfId="253"/>
    <cellStyle name="Input [yellow] 2" xfId="254"/>
    <cellStyle name="Input [yellow] 3" xfId="255"/>
    <cellStyle name="Input [yellow] 4" xfId="256"/>
    <cellStyle name="Input [yellow]_ERB" xfId="257"/>
    <cellStyle name="Input 2" xfId="258"/>
    <cellStyle name="Input 3" xfId="259"/>
    <cellStyle name="Input 4" xfId="260"/>
    <cellStyle name="Input Cells" xfId="261"/>
    <cellStyle name="Input Cells Percent" xfId="262"/>
    <cellStyle name="Lines" xfId="263"/>
    <cellStyle name="LINKED" xfId="264"/>
    <cellStyle name="modified border" xfId="265"/>
    <cellStyle name="modified border 2" xfId="266"/>
    <cellStyle name="modified border 3" xfId="267"/>
    <cellStyle name="modified border 4" xfId="268"/>
    <cellStyle name="modified border1" xfId="269"/>
    <cellStyle name="modified border1 2" xfId="270"/>
    <cellStyle name="modified border1 3" xfId="271"/>
    <cellStyle name="modified border1 4" xfId="272"/>
    <cellStyle name="Neutral 2" xfId="273"/>
    <cellStyle name="no dec" xfId="274"/>
    <cellStyle name="Normal" xfId="0" builtinId="0"/>
    <cellStyle name="Normal - Style1" xfId="275"/>
    <cellStyle name="Normal - Style1 2" xfId="276"/>
    <cellStyle name="Normal - Style1 3" xfId="277"/>
    <cellStyle name="Normal - Style1 4" xfId="278"/>
    <cellStyle name="Normal - Style1_Depreciation Exp" xfId="279"/>
    <cellStyle name="Normal 10" xfId="280"/>
    <cellStyle name="Normal 11" xfId="281"/>
    <cellStyle name="Normal 12" xfId="282"/>
    <cellStyle name="Normal 13" xfId="283"/>
    <cellStyle name="Normal 14" xfId="284"/>
    <cellStyle name="Normal 15" xfId="285"/>
    <cellStyle name="Normal 16" xfId="286"/>
    <cellStyle name="Normal 17" xfId="287"/>
    <cellStyle name="Normal 2" xfId="1"/>
    <cellStyle name="Normal 2 2" xfId="288"/>
    <cellStyle name="Normal 2 2 2" xfId="289"/>
    <cellStyle name="Normal 2 2 3" xfId="290"/>
    <cellStyle name="Normal 2 2_4.14E Miscellaneous Operating Expense working file" xfId="291"/>
    <cellStyle name="Normal 2 3" xfId="292"/>
    <cellStyle name="Normal 2 4" xfId="293"/>
    <cellStyle name="Normal 2 5" xfId="294"/>
    <cellStyle name="Normal 2 6" xfId="295"/>
    <cellStyle name="Normal 2 7" xfId="296"/>
    <cellStyle name="Normal 2 8" xfId="297"/>
    <cellStyle name="Normal 2 9" xfId="298"/>
    <cellStyle name="Normal 2_Allocation Method - Working File" xfId="299"/>
    <cellStyle name="Normal 22 6 2" xfId="7"/>
    <cellStyle name="Normal 3" xfId="300"/>
    <cellStyle name="Normal 3 2" xfId="301"/>
    <cellStyle name="Normal 3 3" xfId="302"/>
    <cellStyle name="Normal 3_4.14E Miscellaneous Operating Expense working file" xfId="303"/>
    <cellStyle name="Normal 4" xfId="9"/>
    <cellStyle name="Normal 5" xfId="10"/>
    <cellStyle name="Normal 6" xfId="304"/>
    <cellStyle name="Normal 7" xfId="305"/>
    <cellStyle name="Normal 8" xfId="306"/>
    <cellStyle name="Normal 9" xfId="307"/>
    <cellStyle name="Note 10" xfId="308"/>
    <cellStyle name="Note 11" xfId="309"/>
    <cellStyle name="Note 12" xfId="310"/>
    <cellStyle name="Note 2" xfId="311"/>
    <cellStyle name="Note 3" xfId="312"/>
    <cellStyle name="Note 4" xfId="313"/>
    <cellStyle name="Note 5" xfId="314"/>
    <cellStyle name="Note 6" xfId="315"/>
    <cellStyle name="Note 7" xfId="316"/>
    <cellStyle name="Note 8" xfId="317"/>
    <cellStyle name="Note 9" xfId="318"/>
    <cellStyle name="Output 2" xfId="319"/>
    <cellStyle name="Percen - Style1" xfId="320"/>
    <cellStyle name="Percen - Style2" xfId="321"/>
    <cellStyle name="Percen - Style3" xfId="322"/>
    <cellStyle name="Percent [2]" xfId="8"/>
    <cellStyle name="Percent 10" xfId="323"/>
    <cellStyle name="Percent 11" xfId="324"/>
    <cellStyle name="Percent 2" xfId="325"/>
    <cellStyle name="Percent 2 3 3" xfId="6"/>
    <cellStyle name="Percent 3" xfId="326"/>
    <cellStyle name="Percent 4" xfId="327"/>
    <cellStyle name="Percent 4 2" xfId="328"/>
    <cellStyle name="Percent 5" xfId="329"/>
    <cellStyle name="Percent 6" xfId="330"/>
    <cellStyle name="Percent 7" xfId="331"/>
    <cellStyle name="Percent 8" xfId="332"/>
    <cellStyle name="Percent 9" xfId="333"/>
    <cellStyle name="Processing" xfId="334"/>
    <cellStyle name="PSChar" xfId="335"/>
    <cellStyle name="PSDate" xfId="336"/>
    <cellStyle name="PSDec" xfId="337"/>
    <cellStyle name="PSHeading" xfId="338"/>
    <cellStyle name="PSInt" xfId="339"/>
    <cellStyle name="PSSpacer" xfId="340"/>
    <cellStyle name="purple - Style8" xfId="341"/>
    <cellStyle name="RED" xfId="342"/>
    <cellStyle name="Red - Style7" xfId="343"/>
    <cellStyle name="RED_04 07E Wild Horse Wind Expansion (C) (2)" xfId="344"/>
    <cellStyle name="Report" xfId="345"/>
    <cellStyle name="Report Bar" xfId="346"/>
    <cellStyle name="Report Heading" xfId="347"/>
    <cellStyle name="Report Percent" xfId="348"/>
    <cellStyle name="Report Unit Cost" xfId="349"/>
    <cellStyle name="Reports" xfId="350"/>
    <cellStyle name="Reports Total" xfId="351"/>
    <cellStyle name="Reports Unit Cost Total" xfId="352"/>
    <cellStyle name="RevList" xfId="353"/>
    <cellStyle name="round100" xfId="354"/>
    <cellStyle name="SAPBEXaggData" xfId="355"/>
    <cellStyle name="SAPBEXaggDataEmph" xfId="356"/>
    <cellStyle name="SAPBEXaggItem" xfId="357"/>
    <cellStyle name="SAPBEXaggItemX" xfId="358"/>
    <cellStyle name="SAPBEXchaText" xfId="359"/>
    <cellStyle name="SAPBEXexcBad7" xfId="360"/>
    <cellStyle name="SAPBEXexcBad8" xfId="361"/>
    <cellStyle name="SAPBEXexcBad9" xfId="362"/>
    <cellStyle name="SAPBEXexcCritical4" xfId="363"/>
    <cellStyle name="SAPBEXexcCritical5" xfId="364"/>
    <cellStyle name="SAPBEXexcCritical6" xfId="365"/>
    <cellStyle name="SAPBEXexcGood1" xfId="366"/>
    <cellStyle name="SAPBEXexcGood2" xfId="367"/>
    <cellStyle name="SAPBEXexcGood3" xfId="368"/>
    <cellStyle name="SAPBEXfilterDrill" xfId="369"/>
    <cellStyle name="SAPBEXfilterItem" xfId="370"/>
    <cellStyle name="SAPBEXfilterText" xfId="371"/>
    <cellStyle name="SAPBEXformats" xfId="372"/>
    <cellStyle name="SAPBEXheaderItem" xfId="373"/>
    <cellStyle name="SAPBEXheaderText" xfId="374"/>
    <cellStyle name="SAPBEXHLevel0" xfId="375"/>
    <cellStyle name="SAPBEXHLevel0X" xfId="376"/>
    <cellStyle name="SAPBEXHLevel1" xfId="377"/>
    <cellStyle name="SAPBEXHLevel1X" xfId="378"/>
    <cellStyle name="SAPBEXHLevel2" xfId="379"/>
    <cellStyle name="SAPBEXHLevel2X" xfId="380"/>
    <cellStyle name="SAPBEXHLevel3" xfId="381"/>
    <cellStyle name="SAPBEXHLevel3X" xfId="382"/>
    <cellStyle name="SAPBEXresData" xfId="383"/>
    <cellStyle name="SAPBEXresDataEmph" xfId="384"/>
    <cellStyle name="SAPBEXresItem" xfId="385"/>
    <cellStyle name="SAPBEXresItemX" xfId="386"/>
    <cellStyle name="SAPBEXstdData" xfId="387"/>
    <cellStyle name="SAPBEXstdDataEmph" xfId="388"/>
    <cellStyle name="SAPBEXstdItem" xfId="389"/>
    <cellStyle name="SAPBEXstdItemX" xfId="390"/>
    <cellStyle name="SAPBEXtitle" xfId="391"/>
    <cellStyle name="SAPBEXundefined" xfId="392"/>
    <cellStyle name="shade" xfId="393"/>
    <cellStyle name="StmtTtl1" xfId="394"/>
    <cellStyle name="StmtTtl1 2" xfId="395"/>
    <cellStyle name="StmtTtl1 3" xfId="396"/>
    <cellStyle name="StmtTtl1 4" xfId="397"/>
    <cellStyle name="StmtTtl1_ERB" xfId="398"/>
    <cellStyle name="StmtTtl2" xfId="399"/>
    <cellStyle name="STYL1 - Style1" xfId="400"/>
    <cellStyle name="Style 1" xfId="401"/>
    <cellStyle name="Style 1 2" xfId="402"/>
    <cellStyle name="Style 1 3" xfId="403"/>
    <cellStyle name="Style 1 4" xfId="404"/>
    <cellStyle name="Style 1_4.14E Miscellaneous Operating Expense working file" xfId="405"/>
    <cellStyle name="Subtotal" xfId="406"/>
    <cellStyle name="Sub-total" xfId="407"/>
    <cellStyle name="Title: Major" xfId="408"/>
    <cellStyle name="Title: Minor" xfId="409"/>
    <cellStyle name="Title: Worksheet" xfId="410"/>
    <cellStyle name="Total 2" xfId="411"/>
    <cellStyle name="Total4 - Style4" xfId="412"/>
    <cellStyle name="Warning Text 2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Bill Impact"/>
      <sheetName val="Proforma Revenue  2017 GRC"/>
      <sheetName val="2018 Rev Req"/>
      <sheetName val="F2016 Final MWH"/>
      <sheetName val="F2016 Final Customer"/>
      <sheetName val="2017 GRC Peak Credit"/>
      <sheetName val="UE-170033 Load Research"/>
      <sheetName val="UE-170033 LR - CP DEM"/>
      <sheetName val="UE-170033 LR - ENERGY"/>
      <sheetName val="2016 PCORC (Impacts)"/>
    </sheetNames>
    <definedNames>
      <definedName name="Last_Row" sheetId="0"/>
    </defined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pane xSplit="1" ySplit="3" topLeftCell="B31" activePane="bottomRight" state="frozen"/>
      <selection sqref="A1:K36"/>
      <selection pane="topRight" sqref="A1:K36"/>
      <selection pane="bottomLeft" sqref="A1:K36"/>
      <selection pane="bottomRight" activeCell="B36" sqref="B36"/>
    </sheetView>
  </sheetViews>
  <sheetFormatPr defaultColWidth="9.140625" defaultRowHeight="12.75"/>
  <cols>
    <col min="1" max="1" width="7.140625" style="4" customWidth="1"/>
    <col min="2" max="2" width="39.5703125" style="4" bestFit="1" customWidth="1"/>
    <col min="3" max="3" width="14.42578125" style="4" bestFit="1" customWidth="1"/>
    <col min="4" max="4" width="15" style="10" bestFit="1" customWidth="1"/>
    <col min="5" max="5" width="9.85546875" style="4" bestFit="1" customWidth="1"/>
    <col min="6" max="6" width="11.28515625" style="10" bestFit="1" customWidth="1"/>
    <col min="7" max="7" width="11.42578125" style="4" bestFit="1" customWidth="1"/>
    <col min="8" max="8" width="9.7109375" style="4" bestFit="1" customWidth="1"/>
    <col min="9" max="10" width="15.140625" style="4" bestFit="1" customWidth="1"/>
    <col min="11" max="11" width="15" style="4" bestFit="1" customWidth="1"/>
    <col min="12" max="12" width="11.5703125" style="4" bestFit="1" customWidth="1"/>
    <col min="13" max="13" width="4.28515625" style="4" customWidth="1"/>
    <col min="14" max="14" width="14.85546875" style="4" bestFit="1" customWidth="1"/>
    <col min="15" max="15" width="19.7109375" style="4" customWidth="1"/>
    <col min="16" max="16" width="10.28515625" style="4" bestFit="1" customWidth="1"/>
    <col min="17" max="17" width="11" style="4" bestFit="1" customWidth="1"/>
    <col min="18" max="18" width="13.85546875" style="4" bestFit="1" customWidth="1"/>
    <col min="19" max="19" width="8.42578125" style="4" bestFit="1" customWidth="1"/>
    <col min="20" max="16384" width="9.140625" style="4"/>
  </cols>
  <sheetData>
    <row r="1" spans="1:17">
      <c r="A1" s="48" t="s">
        <v>23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1"/>
    </row>
    <row r="2" spans="1:17">
      <c r="A2" s="52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7" s="19" customFormat="1">
      <c r="A3" s="55"/>
      <c r="B3" s="4"/>
      <c r="C3" s="9"/>
      <c r="D3" s="10"/>
      <c r="E3" s="4"/>
      <c r="F3" s="10"/>
      <c r="G3" s="4"/>
      <c r="H3" s="4"/>
      <c r="I3" s="4"/>
      <c r="J3" s="4"/>
      <c r="K3" s="4"/>
      <c r="L3" s="11"/>
    </row>
    <row r="4" spans="1:17" s="19" customFormat="1" ht="69" customHeight="1" thickBot="1">
      <c r="A4" s="56" t="s">
        <v>30</v>
      </c>
      <c r="B4" s="57" t="s">
        <v>19</v>
      </c>
      <c r="C4" s="16" t="s">
        <v>37</v>
      </c>
      <c r="D4" s="15" t="s">
        <v>54</v>
      </c>
      <c r="E4" s="15" t="s">
        <v>57</v>
      </c>
      <c r="F4" s="15" t="s">
        <v>55</v>
      </c>
      <c r="G4" s="15" t="s">
        <v>56</v>
      </c>
      <c r="H4" s="13" t="s">
        <v>20</v>
      </c>
      <c r="I4" s="14" t="s">
        <v>60</v>
      </c>
      <c r="J4" s="14" t="s">
        <v>69</v>
      </c>
      <c r="K4" s="14" t="s">
        <v>58</v>
      </c>
      <c r="L4" s="18" t="s">
        <v>59</v>
      </c>
    </row>
    <row r="5" spans="1:17" s="19" customFormat="1" ht="25.5">
      <c r="A5" s="58"/>
      <c r="B5" s="59"/>
      <c r="C5" s="59"/>
      <c r="D5" s="60" t="s">
        <v>24</v>
      </c>
      <c r="E5" s="61" t="s">
        <v>67</v>
      </c>
      <c r="F5" s="60" t="s">
        <v>26</v>
      </c>
      <c r="G5" s="61" t="s">
        <v>68</v>
      </c>
      <c r="H5" s="62" t="s">
        <v>28</v>
      </c>
      <c r="I5" s="62" t="s">
        <v>38</v>
      </c>
      <c r="J5" s="63" t="s">
        <v>39</v>
      </c>
      <c r="K5" s="62" t="s">
        <v>27</v>
      </c>
      <c r="L5" s="64" t="s">
        <v>51</v>
      </c>
    </row>
    <row r="6" spans="1:17" s="19" customFormat="1">
      <c r="A6" s="20"/>
      <c r="D6" s="65"/>
      <c r="E6" s="25"/>
      <c r="F6" s="65"/>
      <c r="G6" s="25"/>
      <c r="L6" s="66"/>
    </row>
    <row r="7" spans="1:17">
      <c r="A7" s="27">
        <v>1</v>
      </c>
      <c r="B7" s="4" t="s">
        <v>3</v>
      </c>
      <c r="C7" s="9">
        <v>7</v>
      </c>
      <c r="D7" s="67">
        <v>11362694034.5944</v>
      </c>
      <c r="E7" s="68">
        <v>0.38975572707142847</v>
      </c>
      <c r="F7" s="67">
        <v>2401760.8159533199</v>
      </c>
      <c r="G7" s="69">
        <v>0.15471846189564545</v>
      </c>
      <c r="H7" s="69">
        <f t="shared" ref="H7:H12" si="0">+G7+E7</f>
        <v>0.54447418896707389</v>
      </c>
      <c r="I7" s="69"/>
      <c r="J7" s="34">
        <f>+H7*($I$27)</f>
        <v>1258964.4322570725</v>
      </c>
      <c r="K7" s="10">
        <f>+'Rate Impacts'!D7</f>
        <v>10297079000</v>
      </c>
      <c r="L7" s="70">
        <f>+J7/K7</f>
        <v>1.2226422971573517E-4</v>
      </c>
      <c r="N7" s="36"/>
      <c r="O7" s="34"/>
      <c r="Q7" s="34"/>
    </row>
    <row r="8" spans="1:17">
      <c r="A8" s="27">
        <f t="shared" ref="A8:A31" si="1">+A7+1</f>
        <v>2</v>
      </c>
      <c r="B8" s="39" t="s">
        <v>4</v>
      </c>
      <c r="C8" s="9" t="s">
        <v>47</v>
      </c>
      <c r="D8" s="67">
        <v>2983708616.2943888</v>
      </c>
      <c r="E8" s="68">
        <v>0.10234522883151947</v>
      </c>
      <c r="F8" s="67">
        <v>483797.35950569448</v>
      </c>
      <c r="G8" s="69">
        <v>3.1165627665627839E-2</v>
      </c>
      <c r="H8" s="69">
        <f t="shared" si="0"/>
        <v>0.13351085649714731</v>
      </c>
      <c r="I8" s="69"/>
      <c r="J8" s="34">
        <f t="shared" ref="J8:J14" si="2">+H8*($I$27)</f>
        <v>308711.45603607525</v>
      </c>
      <c r="K8" s="10">
        <f>+'Rate Impacts'!D9</f>
        <v>3074095000</v>
      </c>
      <c r="L8" s="70">
        <f t="shared" ref="L8:L14" si="3">+J8/K8</f>
        <v>1.0042352498412549E-4</v>
      </c>
      <c r="N8" s="36"/>
    </row>
    <row r="9" spans="1:17">
      <c r="A9" s="27">
        <f t="shared" si="1"/>
        <v>3</v>
      </c>
      <c r="B9" s="4" t="s">
        <v>5</v>
      </c>
      <c r="C9" s="9" t="s">
        <v>48</v>
      </c>
      <c r="D9" s="67">
        <v>3056788722.0678535</v>
      </c>
      <c r="E9" s="68">
        <v>0.10485197500223166</v>
      </c>
      <c r="F9" s="67">
        <v>450721.92869627074</v>
      </c>
      <c r="G9" s="69">
        <v>2.9034949311905648E-2</v>
      </c>
      <c r="H9" s="69">
        <f t="shared" si="0"/>
        <v>0.13388692431413732</v>
      </c>
      <c r="I9" s="69"/>
      <c r="J9" s="34">
        <f t="shared" si="2"/>
        <v>309581.02160098322</v>
      </c>
      <c r="K9" s="10">
        <f>+'Rate Impacts'!D10</f>
        <v>3239919000</v>
      </c>
      <c r="L9" s="70">
        <f t="shared" si="3"/>
        <v>9.5552086827165503E-5</v>
      </c>
      <c r="N9" s="36"/>
    </row>
    <row r="10" spans="1:17">
      <c r="A10" s="27">
        <f t="shared" si="1"/>
        <v>4</v>
      </c>
      <c r="B10" s="4" t="s">
        <v>6</v>
      </c>
      <c r="C10" s="9" t="s">
        <v>49</v>
      </c>
      <c r="D10" s="67">
        <v>2026649549.543107</v>
      </c>
      <c r="E10" s="68">
        <v>6.9516812324283681E-2</v>
      </c>
      <c r="F10" s="67">
        <v>256180.171393383</v>
      </c>
      <c r="G10" s="69">
        <v>1.650280986469279E-2</v>
      </c>
      <c r="H10" s="69">
        <f t="shared" si="0"/>
        <v>8.6019622188976463E-2</v>
      </c>
      <c r="I10" s="69"/>
      <c r="J10" s="34">
        <f t="shared" si="2"/>
        <v>198899.50158622052</v>
      </c>
      <c r="K10" s="10">
        <f>+'Rate Impacts'!D11</f>
        <v>2001182000</v>
      </c>
      <c r="L10" s="70">
        <f t="shared" si="3"/>
        <v>9.9391010705783141E-5</v>
      </c>
      <c r="N10" s="36"/>
    </row>
    <row r="11" spans="1:17">
      <c r="A11" s="27">
        <f t="shared" si="1"/>
        <v>5</v>
      </c>
      <c r="B11" s="4" t="s">
        <v>7</v>
      </c>
      <c r="C11" s="9">
        <v>29</v>
      </c>
      <c r="D11" s="67">
        <v>15235983.417815696</v>
      </c>
      <c r="E11" s="68">
        <v>5.2261477573711291E-4</v>
      </c>
      <c r="F11" s="67">
        <v>358.31112419307749</v>
      </c>
      <c r="G11" s="69">
        <v>2.3081959555264064E-5</v>
      </c>
      <c r="H11" s="69">
        <f t="shared" si="0"/>
        <v>5.4569673529237693E-4</v>
      </c>
      <c r="I11" s="69"/>
      <c r="J11" s="34">
        <f t="shared" si="2"/>
        <v>1261.7912739541291</v>
      </c>
      <c r="K11" s="10">
        <f>+'Rate Impacts'!D12</f>
        <v>15669000</v>
      </c>
      <c r="L11" s="70">
        <f t="shared" si="3"/>
        <v>8.0527875036960178E-5</v>
      </c>
      <c r="N11" s="36"/>
    </row>
    <row r="12" spans="1:17">
      <c r="A12" s="27">
        <f t="shared" si="1"/>
        <v>6</v>
      </c>
      <c r="B12" s="4" t="s">
        <v>9</v>
      </c>
      <c r="C12" s="9" t="s">
        <v>50</v>
      </c>
      <c r="D12" s="67">
        <v>1323003367.1184549</v>
      </c>
      <c r="E12" s="68">
        <v>4.5380799456473948E-2</v>
      </c>
      <c r="F12" s="67">
        <v>175561.10593684699</v>
      </c>
      <c r="G12" s="69">
        <v>1.1309429356505649E-2</v>
      </c>
      <c r="H12" s="69">
        <f t="shared" si="0"/>
        <v>5.6690228812979596E-2</v>
      </c>
      <c r="I12" s="69"/>
      <c r="J12" s="34">
        <f t="shared" si="2"/>
        <v>131082.39688543332</v>
      </c>
      <c r="K12" s="10">
        <f>+'Rate Impacts'!D16</f>
        <v>1349065000</v>
      </c>
      <c r="L12" s="70">
        <f t="shared" si="3"/>
        <v>9.7165367780969276E-5</v>
      </c>
      <c r="N12" s="36"/>
    </row>
    <row r="13" spans="1:17">
      <c r="A13" s="27">
        <f t="shared" si="1"/>
        <v>7</v>
      </c>
      <c r="B13" s="4" t="s">
        <v>10</v>
      </c>
      <c r="C13" s="9">
        <v>35</v>
      </c>
      <c r="D13" s="67">
        <v>4594563.3633324662</v>
      </c>
      <c r="E13" s="68">
        <v>1.5759971876381826E-4</v>
      </c>
      <c r="F13" s="67">
        <v>4.0419526549894496</v>
      </c>
      <c r="G13" s="69">
        <v>2.6037759200712292E-7</v>
      </c>
      <c r="H13" s="69">
        <f>+G13+E13</f>
        <v>1.5786009635582537E-4</v>
      </c>
      <c r="I13" s="69"/>
      <c r="J13" s="34">
        <f t="shared" si="2"/>
        <v>365.01316428183691</v>
      </c>
      <c r="K13" s="10">
        <f>+'Rate Impacts'!D17</f>
        <v>5352000</v>
      </c>
      <c r="L13" s="70">
        <f t="shared" si="3"/>
        <v>6.8201263879266982E-5</v>
      </c>
      <c r="N13" s="36"/>
    </row>
    <row r="14" spans="1:17">
      <c r="A14" s="27">
        <f t="shared" si="1"/>
        <v>8</v>
      </c>
      <c r="B14" s="4" t="s">
        <v>11</v>
      </c>
      <c r="C14" s="9">
        <v>43</v>
      </c>
      <c r="D14" s="67">
        <v>124979540.86316925</v>
      </c>
      <c r="E14" s="68">
        <v>4.2869667765296493E-3</v>
      </c>
      <c r="F14" s="67">
        <v>0</v>
      </c>
      <c r="G14" s="69">
        <v>0</v>
      </c>
      <c r="H14" s="69">
        <f>+G14+E14</f>
        <v>4.2869667765296493E-3</v>
      </c>
      <c r="I14" s="69"/>
      <c r="J14" s="34">
        <f t="shared" si="2"/>
        <v>9912.570335349661</v>
      </c>
      <c r="K14" s="10">
        <f>+'Rate Impacts'!D18</f>
        <v>122981000</v>
      </c>
      <c r="L14" s="70">
        <f t="shared" si="3"/>
        <v>8.0602453511921849E-5</v>
      </c>
      <c r="N14" s="36"/>
    </row>
    <row r="15" spans="1:17">
      <c r="A15" s="27">
        <f t="shared" si="1"/>
        <v>9</v>
      </c>
      <c r="C15" s="9"/>
      <c r="E15" s="69"/>
      <c r="G15" s="69"/>
      <c r="H15" s="69"/>
      <c r="I15" s="69"/>
      <c r="J15" s="34"/>
      <c r="K15" s="10"/>
      <c r="L15" s="71"/>
    </row>
    <row r="16" spans="1:17">
      <c r="A16" s="27">
        <f t="shared" si="1"/>
        <v>10</v>
      </c>
      <c r="B16" s="39"/>
      <c r="C16" s="9"/>
      <c r="E16" s="69"/>
      <c r="G16" s="69"/>
      <c r="H16" s="69"/>
      <c r="I16" s="69"/>
      <c r="J16" s="34"/>
      <c r="K16" s="10"/>
      <c r="L16" s="71"/>
    </row>
    <row r="17" spans="1:15">
      <c r="A17" s="27">
        <f t="shared" si="1"/>
        <v>11</v>
      </c>
      <c r="B17" s="39" t="s">
        <v>31</v>
      </c>
      <c r="C17" s="9">
        <v>40</v>
      </c>
      <c r="D17" s="10">
        <v>245725369.1750226</v>
      </c>
      <c r="E17" s="68">
        <v>8.4287115037261304E-3</v>
      </c>
      <c r="F17" s="10">
        <v>29990.570981487195</v>
      </c>
      <c r="G17" s="69">
        <v>1.9319554981523442E-3</v>
      </c>
      <c r="H17" s="69">
        <f>+G17+E17</f>
        <v>1.0360667001878475E-2</v>
      </c>
      <c r="I17" s="69"/>
      <c r="J17" s="34">
        <f>+H17*($I$27)</f>
        <v>23956.528177340868</v>
      </c>
      <c r="K17" s="10">
        <f>+'Rate Impacts'!D22</f>
        <v>238028000</v>
      </c>
      <c r="L17" s="70">
        <f>+J17/K17</f>
        <v>1.0064584073025387E-4</v>
      </c>
    </row>
    <row r="18" spans="1:15">
      <c r="A18" s="27">
        <f t="shared" si="1"/>
        <v>12</v>
      </c>
      <c r="B18" s="39" t="s">
        <v>32</v>
      </c>
      <c r="C18" s="9">
        <f>+C17</f>
        <v>40</v>
      </c>
      <c r="D18" s="10">
        <v>0</v>
      </c>
      <c r="E18" s="68">
        <v>0</v>
      </c>
      <c r="F18" s="10">
        <v>0</v>
      </c>
      <c r="G18" s="69">
        <v>0</v>
      </c>
      <c r="H18" s="69">
        <f>+G18+E18</f>
        <v>0</v>
      </c>
      <c r="I18" s="69"/>
      <c r="J18" s="34"/>
      <c r="K18" s="10">
        <v>0</v>
      </c>
      <c r="L18" s="70">
        <f>+L21</f>
        <v>8.852920783067512E-5</v>
      </c>
    </row>
    <row r="19" spans="1:15">
      <c r="A19" s="27">
        <f t="shared" si="1"/>
        <v>13</v>
      </c>
      <c r="B19" s="37"/>
      <c r="C19" s="72"/>
      <c r="E19" s="69"/>
      <c r="G19" s="69"/>
      <c r="H19" s="69"/>
      <c r="I19" s="69"/>
      <c r="J19" s="34"/>
      <c r="K19" s="10"/>
      <c r="L19" s="71"/>
    </row>
    <row r="20" spans="1:15">
      <c r="A20" s="27">
        <f t="shared" si="1"/>
        <v>14</v>
      </c>
      <c r="B20" s="73" t="s">
        <v>33</v>
      </c>
      <c r="C20" s="9">
        <v>46</v>
      </c>
      <c r="D20" s="10">
        <v>58540365.538649537</v>
      </c>
      <c r="E20" s="68">
        <v>2.0080134749802751E-3</v>
      </c>
      <c r="F20" s="10">
        <v>0</v>
      </c>
      <c r="G20" s="69">
        <v>0</v>
      </c>
      <c r="H20" s="69">
        <f t="shared" ref="H20:H21" si="4">+G20+E20</f>
        <v>2.0080134749802751E-3</v>
      </c>
      <c r="I20" s="69"/>
      <c r="J20" s="34">
        <f t="shared" ref="J20:J21" si="5">+H20*($I$27)</f>
        <v>4643.0438682300346</v>
      </c>
      <c r="K20" s="10">
        <f>+'Rate Impacts'!D24</f>
        <v>68162000</v>
      </c>
      <c r="L20" s="70">
        <f>+J20/K20</f>
        <v>6.8117776301018665E-5</v>
      </c>
    </row>
    <row r="21" spans="1:15">
      <c r="A21" s="27">
        <f t="shared" si="1"/>
        <v>15</v>
      </c>
      <c r="B21" s="73" t="s">
        <v>34</v>
      </c>
      <c r="C21" s="9">
        <v>49</v>
      </c>
      <c r="D21" s="10">
        <v>574347448.1834321</v>
      </c>
      <c r="E21" s="68">
        <v>1.9700891934325837E-2</v>
      </c>
      <c r="F21" s="10">
        <v>67179.705291231017</v>
      </c>
      <c r="G21" s="69">
        <v>4.3276335446152236E-3</v>
      </c>
      <c r="H21" s="69">
        <f t="shared" si="4"/>
        <v>2.4028525478941062E-2</v>
      </c>
      <c r="I21" s="69"/>
      <c r="J21" s="34">
        <f t="shared" si="5"/>
        <v>55560.134071661232</v>
      </c>
      <c r="K21" s="10">
        <f>+'Rate Impacts'!D25</f>
        <v>627591000</v>
      </c>
      <c r="L21" s="70">
        <f>+J21/K21</f>
        <v>8.852920783067512E-5</v>
      </c>
    </row>
    <row r="22" spans="1:15">
      <c r="A22" s="27">
        <f t="shared" si="1"/>
        <v>16</v>
      </c>
      <c r="B22" s="39"/>
      <c r="C22" s="72"/>
      <c r="E22" s="69"/>
      <c r="G22" s="69"/>
      <c r="H22" s="69"/>
      <c r="I22" s="69"/>
      <c r="J22" s="34"/>
      <c r="K22" s="10"/>
      <c r="L22" s="71"/>
    </row>
    <row r="23" spans="1:15">
      <c r="A23" s="27">
        <f t="shared" si="1"/>
        <v>17</v>
      </c>
      <c r="B23" s="4" t="s">
        <v>16</v>
      </c>
      <c r="C23" s="9" t="s">
        <v>35</v>
      </c>
      <c r="D23" s="67">
        <v>81534389.017231286</v>
      </c>
      <c r="E23" s="68">
        <v>2.796739485898691E-3</v>
      </c>
      <c r="F23" s="67">
        <v>13772.381425311305</v>
      </c>
      <c r="G23" s="69">
        <v>8.8719978134814274E-4</v>
      </c>
      <c r="H23" s="69">
        <f>+G23+E23</f>
        <v>3.6839392672468338E-3</v>
      </c>
      <c r="I23" s="69"/>
      <c r="J23" s="34">
        <f>+H23*($I$27)</f>
        <v>8518.2155592308864</v>
      </c>
      <c r="K23" s="10">
        <f>+'Rate Impacts'!D29</f>
        <v>71693000</v>
      </c>
      <c r="L23" s="70">
        <f>+J23/K23</f>
        <v>1.1881516409176469E-4</v>
      </c>
      <c r="N23" s="36"/>
    </row>
    <row r="24" spans="1:15">
      <c r="A24" s="27">
        <f t="shared" si="1"/>
        <v>18</v>
      </c>
      <c r="C24" s="9"/>
      <c r="E24" s="69"/>
      <c r="J24" s="34"/>
      <c r="L24" s="71"/>
    </row>
    <row r="25" spans="1:15">
      <c r="A25" s="27">
        <f t="shared" si="1"/>
        <v>19</v>
      </c>
      <c r="B25" s="4" t="s">
        <v>21</v>
      </c>
      <c r="C25" s="9">
        <v>5</v>
      </c>
      <c r="D25" s="67">
        <v>7227693.8231415441</v>
      </c>
      <c r="E25" s="68">
        <v>2.4791964410126449E-4</v>
      </c>
      <c r="F25" s="67">
        <v>1530.4662657410647</v>
      </c>
      <c r="G25" s="69">
        <v>9.8590744359629832E-5</v>
      </c>
      <c r="H25" s="69">
        <f>+G25+E25</f>
        <v>3.4651038846089433E-4</v>
      </c>
      <c r="I25" s="69"/>
      <c r="J25" s="34">
        <f>+H25*($I$27)</f>
        <v>801.22118425383906</v>
      </c>
      <c r="K25" s="10">
        <f>+'Rate Impacts'!D31</f>
        <v>6997000</v>
      </c>
      <c r="L25" s="70">
        <f>+J25/K25</f>
        <v>1.1450924456964971E-4</v>
      </c>
      <c r="N25" s="36"/>
    </row>
    <row r="26" spans="1:15">
      <c r="A26" s="27">
        <f t="shared" si="1"/>
        <v>20</v>
      </c>
      <c r="C26" s="9"/>
      <c r="E26" s="69"/>
      <c r="J26" s="34"/>
      <c r="L26" s="71"/>
    </row>
    <row r="27" spans="1:15">
      <c r="A27" s="27">
        <f t="shared" si="1"/>
        <v>21</v>
      </c>
      <c r="B27" s="4" t="s">
        <v>17</v>
      </c>
      <c r="C27" s="9"/>
      <c r="D27" s="10">
        <f>SUM(D7:D25)</f>
        <v>21865029643</v>
      </c>
      <c r="E27" s="69">
        <f>SUM(E7:E25)</f>
        <v>0.75</v>
      </c>
      <c r="F27" s="10">
        <f>SUM(F7:F25)</f>
        <v>3880856.8585261339</v>
      </c>
      <c r="G27" s="69">
        <f>SUM(G7:G25)</f>
        <v>0.24999999999999997</v>
      </c>
      <c r="H27" s="69">
        <f>SUM(H7:H25)</f>
        <v>0.99999999999999989</v>
      </c>
      <c r="I27" s="34">
        <v>2312257.3260000874</v>
      </c>
      <c r="J27" s="34">
        <f>SUM(J7:J25)</f>
        <v>2312257.3260000874</v>
      </c>
      <c r="K27" s="10">
        <f>SUM(K7:K25)</f>
        <v>21117813000</v>
      </c>
      <c r="L27" s="70">
        <f>+J27/K27</f>
        <v>1.0949321911317651E-4</v>
      </c>
    </row>
    <row r="28" spans="1:15">
      <c r="A28" s="27">
        <f t="shared" si="1"/>
        <v>22</v>
      </c>
      <c r="C28" s="9"/>
      <c r="J28" s="34"/>
      <c r="L28" s="74"/>
      <c r="N28" s="34"/>
    </row>
    <row r="29" spans="1:15">
      <c r="A29" s="27">
        <f t="shared" si="1"/>
        <v>23</v>
      </c>
      <c r="B29" s="39" t="s">
        <v>52</v>
      </c>
      <c r="C29" s="9" t="s">
        <v>22</v>
      </c>
      <c r="E29" s="69"/>
      <c r="G29" s="69"/>
      <c r="H29" s="69"/>
      <c r="I29" s="69"/>
      <c r="J29" s="34"/>
      <c r="K29" s="10">
        <f>+'Rate Impacts'!D35</f>
        <v>2023499000</v>
      </c>
      <c r="L29" s="71"/>
    </row>
    <row r="30" spans="1:15">
      <c r="A30" s="27">
        <f t="shared" si="1"/>
        <v>24</v>
      </c>
      <c r="B30" s="39"/>
      <c r="C30" s="72"/>
      <c r="E30" s="69"/>
      <c r="G30" s="69"/>
      <c r="H30" s="69"/>
      <c r="I30" s="69"/>
      <c r="J30" s="34"/>
      <c r="K30" s="10"/>
      <c r="L30" s="71"/>
    </row>
    <row r="31" spans="1:15">
      <c r="A31" s="27">
        <f t="shared" si="1"/>
        <v>25</v>
      </c>
      <c r="B31" s="4" t="s">
        <v>18</v>
      </c>
      <c r="C31" s="9"/>
      <c r="D31" s="10">
        <f>SUM(D27:D30)</f>
        <v>21865029643</v>
      </c>
      <c r="E31" s="69"/>
      <c r="F31" s="10">
        <f>SUM(F27:F30)</f>
        <v>3880856.8585261339</v>
      </c>
      <c r="G31" s="69"/>
      <c r="H31" s="69"/>
      <c r="I31" s="34"/>
      <c r="J31" s="34"/>
      <c r="K31" s="10">
        <f>SUM(K27:K30)</f>
        <v>23141312000</v>
      </c>
      <c r="L31" s="71"/>
      <c r="N31" s="75"/>
      <c r="O31" s="75"/>
    </row>
    <row r="32" spans="1:15">
      <c r="A32" s="55"/>
      <c r="C32" s="9"/>
      <c r="L32" s="11"/>
      <c r="N32" s="75"/>
      <c r="O32" s="75"/>
    </row>
    <row r="33" spans="1:12">
      <c r="A33" s="76" t="s">
        <v>61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8"/>
    </row>
    <row r="34" spans="1:12">
      <c r="A34" s="76" t="s">
        <v>62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ht="13.5" thickBot="1">
      <c r="A35" s="79" t="s">
        <v>63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</row>
  </sheetData>
  <mergeCells count="5">
    <mergeCell ref="A1:L1"/>
    <mergeCell ref="A2:L2"/>
    <mergeCell ref="A33:L33"/>
    <mergeCell ref="A34:L34"/>
    <mergeCell ref="A35:L35"/>
  </mergeCells>
  <printOptions horizontalCentered="1"/>
  <pageMargins left="0.7" right="0.7" top="1" bottom="0.75" header="0.3" footer="0.3"/>
  <pageSetup scale="70" orientation="landscape" horizontalDpi="1200" verticalDpi="1200" r:id="rId1"/>
  <headerFooter alignWithMargins="0">
    <oddFooter>&amp;R&amp;"Times New Roman,Regular"Exhibit No.___(JAP-38)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pane xSplit="3" ySplit="4" topLeftCell="D5" activePane="bottomRight" state="frozen"/>
      <selection sqref="A1:K36"/>
      <selection pane="topRight" sqref="A1:K36"/>
      <selection pane="bottomLeft" sqref="A1:K36"/>
      <selection pane="bottomRight" activeCell="B4" sqref="B4"/>
    </sheetView>
  </sheetViews>
  <sheetFormatPr defaultColWidth="9.140625" defaultRowHeight="12.75"/>
  <cols>
    <col min="1" max="1" width="4.7109375" style="4" bestFit="1" customWidth="1"/>
    <col min="2" max="2" width="22.5703125" style="4" bestFit="1" customWidth="1"/>
    <col min="3" max="3" width="11.140625" style="9" bestFit="1" customWidth="1"/>
    <col min="4" max="4" width="15.140625" style="10" bestFit="1" customWidth="1"/>
    <col min="5" max="5" width="17.28515625" style="10" bestFit="1" customWidth="1"/>
    <col min="6" max="6" width="11.5703125" style="4" bestFit="1" customWidth="1"/>
    <col min="7" max="7" width="13.140625" style="4" customWidth="1"/>
    <col min="8" max="8" width="15.140625" style="10" bestFit="1" customWidth="1"/>
    <col min="9" max="9" width="16.7109375" style="10" customWidth="1"/>
    <col min="10" max="10" width="14.140625" style="4" bestFit="1" customWidth="1"/>
    <col min="11" max="11" width="12.42578125" style="4" bestFit="1" customWidth="1"/>
    <col min="12" max="12" width="9.28515625" style="4" customWidth="1"/>
    <col min="13" max="13" width="12.28515625" style="4" bestFit="1" customWidth="1"/>
    <col min="14" max="16384" width="9.140625" style="4"/>
  </cols>
  <sheetData>
    <row r="1" spans="1:1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>
      <c r="A2" s="5" t="s">
        <v>40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3">
      <c r="A3" s="8"/>
      <c r="K3" s="11"/>
    </row>
    <row r="4" spans="1:13" s="19" customFormat="1" ht="95.45" customHeight="1" thickBot="1">
      <c r="A4" s="12" t="s">
        <v>30</v>
      </c>
      <c r="B4" s="13" t="s">
        <v>0</v>
      </c>
      <c r="C4" s="14" t="s">
        <v>42</v>
      </c>
      <c r="D4" s="15" t="s">
        <v>53</v>
      </c>
      <c r="E4" s="15" t="s">
        <v>64</v>
      </c>
      <c r="F4" s="16" t="s">
        <v>70</v>
      </c>
      <c r="G4" s="16" t="s">
        <v>71</v>
      </c>
      <c r="H4" s="17" t="s">
        <v>65</v>
      </c>
      <c r="I4" s="17" t="s">
        <v>66</v>
      </c>
      <c r="J4" s="14" t="s">
        <v>1</v>
      </c>
      <c r="K4" s="18" t="s">
        <v>2</v>
      </c>
    </row>
    <row r="5" spans="1:13" s="19" customFormat="1" ht="13.5" thickBot="1">
      <c r="A5" s="20"/>
      <c r="D5" s="21" t="s">
        <v>24</v>
      </c>
      <c r="E5" s="21" t="s">
        <v>25</v>
      </c>
      <c r="F5" s="22" t="s">
        <v>26</v>
      </c>
      <c r="G5" s="23" t="s">
        <v>41</v>
      </c>
      <c r="H5" s="24" t="s">
        <v>43</v>
      </c>
      <c r="I5" s="24" t="s">
        <v>44</v>
      </c>
      <c r="J5" s="25" t="s">
        <v>45</v>
      </c>
      <c r="K5" s="26" t="s">
        <v>46</v>
      </c>
    </row>
    <row r="6" spans="1:13">
      <c r="A6" s="27"/>
      <c r="B6" s="28"/>
      <c r="C6" s="29"/>
      <c r="D6" s="30"/>
      <c r="E6" s="30"/>
      <c r="F6" s="28"/>
      <c r="G6" s="28"/>
      <c r="H6" s="30"/>
      <c r="I6" s="30"/>
      <c r="J6" s="28"/>
      <c r="K6" s="31"/>
    </row>
    <row r="7" spans="1:13">
      <c r="A7" s="27">
        <v>1</v>
      </c>
      <c r="B7" s="4" t="s">
        <v>3</v>
      </c>
      <c r="C7" s="9">
        <f>+'Rate Spread'!C7</f>
        <v>7</v>
      </c>
      <c r="D7" s="10">
        <v>10297079000</v>
      </c>
      <c r="E7" s="32">
        <v>1137644000</v>
      </c>
      <c r="F7" s="33">
        <v>0</v>
      </c>
      <c r="G7" s="33">
        <f>+'Rate Spread'!L7</f>
        <v>1.2226422971573517E-4</v>
      </c>
      <c r="H7" s="34">
        <f>+F7*D7+E7</f>
        <v>1137644000</v>
      </c>
      <c r="I7" s="34">
        <f>+E7+G7*D7</f>
        <v>1138902964.4322572</v>
      </c>
      <c r="J7" s="34">
        <f>+I7-H7</f>
        <v>1258964.4322571754</v>
      </c>
      <c r="K7" s="35">
        <f>+J7/H7</f>
        <v>1.1066418249093524E-3</v>
      </c>
    </row>
    <row r="8" spans="1:13">
      <c r="A8" s="27">
        <f>+A7+1</f>
        <v>2</v>
      </c>
      <c r="E8" s="32"/>
      <c r="F8" s="36"/>
      <c r="G8" s="36"/>
      <c r="H8" s="34"/>
      <c r="I8" s="34"/>
      <c r="J8" s="34"/>
      <c r="K8" s="35"/>
    </row>
    <row r="9" spans="1:13">
      <c r="A9" s="27">
        <f t="shared" ref="A9:A37" si="0">+A8+1</f>
        <v>3</v>
      </c>
      <c r="B9" s="37" t="s">
        <v>4</v>
      </c>
      <c r="C9" s="9" t="str">
        <f>+'Rate Spread'!C8</f>
        <v>8 &amp; 24</v>
      </c>
      <c r="D9" s="10">
        <v>3074095000</v>
      </c>
      <c r="E9" s="32">
        <v>312418000</v>
      </c>
      <c r="F9" s="33">
        <v>0</v>
      </c>
      <c r="G9" s="33">
        <f>+'Rate Spread'!L8</f>
        <v>1.0042352498412549E-4</v>
      </c>
      <c r="H9" s="34">
        <f>+F9*D9+E9</f>
        <v>312418000</v>
      </c>
      <c r="I9" s="34">
        <f>+E9+G9*D9</f>
        <v>312726711.45603609</v>
      </c>
      <c r="J9" s="34">
        <f>+I9-H9</f>
        <v>308711.45603609085</v>
      </c>
      <c r="K9" s="35">
        <f t="shared" ref="K9:K12" si="1">+J9/H9</f>
        <v>9.8813594618777029E-4</v>
      </c>
    </row>
    <row r="10" spans="1:13">
      <c r="A10" s="27">
        <f t="shared" si="0"/>
        <v>4</v>
      </c>
      <c r="B10" s="38" t="s">
        <v>5</v>
      </c>
      <c r="C10" s="9" t="str">
        <f>+'Rate Spread'!C9</f>
        <v>11, 25 &amp; 7A</v>
      </c>
      <c r="D10" s="10">
        <v>3239919000</v>
      </c>
      <c r="E10" s="32">
        <v>305807000</v>
      </c>
      <c r="F10" s="33">
        <v>0</v>
      </c>
      <c r="G10" s="33">
        <f>+'Rate Spread'!L9</f>
        <v>9.5552086827165503E-5</v>
      </c>
      <c r="H10" s="34">
        <f>+F10*D10+E10</f>
        <v>305807000</v>
      </c>
      <c r="I10" s="34">
        <f>+E10+G10*D10</f>
        <v>306116581.02160096</v>
      </c>
      <c r="J10" s="34">
        <f t="shared" ref="J10:J12" si="2">+I10-H10</f>
        <v>309581.02160096169</v>
      </c>
      <c r="K10" s="35">
        <f t="shared" si="1"/>
        <v>1.0123411877457405E-3</v>
      </c>
    </row>
    <row r="11" spans="1:13">
      <c r="A11" s="27">
        <f t="shared" si="0"/>
        <v>5</v>
      </c>
      <c r="B11" s="38" t="s">
        <v>6</v>
      </c>
      <c r="C11" s="9" t="str">
        <f>+'Rate Spread'!C10</f>
        <v>12, 26 &amp; 26P</v>
      </c>
      <c r="D11" s="10">
        <v>2001182000</v>
      </c>
      <c r="E11" s="32">
        <v>172647000</v>
      </c>
      <c r="F11" s="33">
        <v>0</v>
      </c>
      <c r="G11" s="33">
        <f>+'Rate Spread'!L10</f>
        <v>9.9391010705783141E-5</v>
      </c>
      <c r="H11" s="34">
        <f>+F11*D11+E11</f>
        <v>172647000</v>
      </c>
      <c r="I11" s="34">
        <f>+E11+G11*D11</f>
        <v>172845899.50158623</v>
      </c>
      <c r="J11" s="34">
        <f t="shared" si="2"/>
        <v>198899.50158622861</v>
      </c>
      <c r="K11" s="35">
        <f t="shared" si="1"/>
        <v>1.1520588344206884E-3</v>
      </c>
    </row>
    <row r="12" spans="1:13">
      <c r="A12" s="27">
        <f t="shared" si="0"/>
        <v>6</v>
      </c>
      <c r="B12" s="38" t="s">
        <v>7</v>
      </c>
      <c r="C12" s="9">
        <f>+'Rate Spread'!C11</f>
        <v>29</v>
      </c>
      <c r="D12" s="10">
        <v>15669000</v>
      </c>
      <c r="E12" s="32">
        <v>1321000</v>
      </c>
      <c r="F12" s="33">
        <v>0</v>
      </c>
      <c r="G12" s="33">
        <f>+'Rate Spread'!L11</f>
        <v>8.0527875036960178E-5</v>
      </c>
      <c r="H12" s="34">
        <f>+F12*D12+E12</f>
        <v>1321000</v>
      </c>
      <c r="I12" s="34">
        <f>+E12+G12*D12</f>
        <v>1322261.7912739541</v>
      </c>
      <c r="J12" s="34">
        <f t="shared" si="2"/>
        <v>1261.7912739540916</v>
      </c>
      <c r="K12" s="35">
        <f t="shared" si="1"/>
        <v>9.5517885991982707E-4</v>
      </c>
    </row>
    <row r="13" spans="1:13">
      <c r="A13" s="27">
        <f t="shared" si="0"/>
        <v>7</v>
      </c>
      <c r="E13" s="32"/>
      <c r="F13" s="36"/>
      <c r="G13" s="36"/>
      <c r="H13" s="34"/>
      <c r="I13" s="34"/>
      <c r="J13" s="34"/>
      <c r="K13" s="35"/>
    </row>
    <row r="14" spans="1:13">
      <c r="A14" s="27">
        <f t="shared" si="0"/>
        <v>8</v>
      </c>
      <c r="B14" s="4" t="s">
        <v>8</v>
      </c>
      <c r="D14" s="10">
        <f>SUM(D9:D13)</f>
        <v>8330865000</v>
      </c>
      <c r="E14" s="32">
        <f>SUM(E9:E13)</f>
        <v>792193000</v>
      </c>
      <c r="F14" s="33">
        <v>0</v>
      </c>
      <c r="G14" s="33">
        <f>ROUND(SUMPRODUCT($D9:$D12,G9:G12)/$D14,6)</f>
        <v>9.7999999999999997E-5</v>
      </c>
      <c r="H14" s="34">
        <f>SUM(H9:H13)</f>
        <v>792193000</v>
      </c>
      <c r="I14" s="34">
        <f>SUM(I9:I13)</f>
        <v>793011453.7704972</v>
      </c>
      <c r="J14" s="34">
        <f>SUM(J9:J13)</f>
        <v>818453.77049723524</v>
      </c>
      <c r="K14" s="35">
        <f t="shared" ref="K14" si="3">+J14/H14</f>
        <v>1.0331494604184021E-3</v>
      </c>
      <c r="M14" s="10"/>
    </row>
    <row r="15" spans="1:13">
      <c r="A15" s="27">
        <f t="shared" si="0"/>
        <v>9</v>
      </c>
      <c r="E15" s="32"/>
      <c r="F15" s="36"/>
      <c r="G15" s="36"/>
      <c r="H15" s="34"/>
      <c r="I15" s="34"/>
      <c r="J15" s="34"/>
      <c r="K15" s="35"/>
    </row>
    <row r="16" spans="1:13">
      <c r="A16" s="27">
        <f t="shared" si="0"/>
        <v>10</v>
      </c>
      <c r="B16" s="38" t="s">
        <v>9</v>
      </c>
      <c r="C16" s="9" t="str">
        <f>+'Rate Spread'!C12</f>
        <v>10 &amp; 31</v>
      </c>
      <c r="D16" s="10">
        <v>1349065000</v>
      </c>
      <c r="E16" s="32">
        <v>114795000</v>
      </c>
      <c r="F16" s="33">
        <v>0</v>
      </c>
      <c r="G16" s="33">
        <f>+'Rate Spread'!L12</f>
        <v>9.7165367780969276E-5</v>
      </c>
      <c r="H16" s="34">
        <f>+F16*D16+E16</f>
        <v>114795000</v>
      </c>
      <c r="I16" s="34">
        <f>+E16+G16*D16</f>
        <v>114926082.39688544</v>
      </c>
      <c r="J16" s="34">
        <f t="shared" ref="J16:J18" si="4">+I16-H16</f>
        <v>131082.39688543975</v>
      </c>
      <c r="K16" s="35">
        <f t="shared" ref="K16:K18" si="5">+J16/H16</f>
        <v>1.1418824590395031E-3</v>
      </c>
    </row>
    <row r="17" spans="1:13">
      <c r="A17" s="27">
        <f t="shared" si="0"/>
        <v>11</v>
      </c>
      <c r="B17" s="38" t="s">
        <v>10</v>
      </c>
      <c r="C17" s="9">
        <f>+'Rate Spread'!C13</f>
        <v>35</v>
      </c>
      <c r="D17" s="10">
        <v>5352000</v>
      </c>
      <c r="E17" s="32">
        <v>317000</v>
      </c>
      <c r="F17" s="33">
        <v>0</v>
      </c>
      <c r="G17" s="33">
        <f>+'Rate Spread'!L13</f>
        <v>6.8201263879266982E-5</v>
      </c>
      <c r="H17" s="34">
        <f>+F17*D17+E17</f>
        <v>317000</v>
      </c>
      <c r="I17" s="34">
        <f>+E17+G17*D17</f>
        <v>317365.01316428185</v>
      </c>
      <c r="J17" s="34">
        <f t="shared" si="4"/>
        <v>365.01316428184509</v>
      </c>
      <c r="K17" s="35">
        <f t="shared" si="5"/>
        <v>1.1514610860626029E-3</v>
      </c>
    </row>
    <row r="18" spans="1:13">
      <c r="A18" s="27">
        <f t="shared" si="0"/>
        <v>12</v>
      </c>
      <c r="B18" s="38" t="s">
        <v>11</v>
      </c>
      <c r="C18" s="9">
        <f>+'Rate Spread'!C14</f>
        <v>43</v>
      </c>
      <c r="D18" s="10">
        <v>122981000</v>
      </c>
      <c r="E18" s="32">
        <v>11492000</v>
      </c>
      <c r="F18" s="33">
        <v>0</v>
      </c>
      <c r="G18" s="33">
        <f>+'Rate Spread'!L14</f>
        <v>8.0602453511921849E-5</v>
      </c>
      <c r="H18" s="34">
        <f>+F18*D18+E18</f>
        <v>11492000</v>
      </c>
      <c r="I18" s="34">
        <f>+E18+G18*D18</f>
        <v>11501912.570335349</v>
      </c>
      <c r="J18" s="34">
        <f t="shared" si="4"/>
        <v>9912.570335349068</v>
      </c>
      <c r="K18" s="35">
        <f t="shared" si="5"/>
        <v>8.625626814609353E-4</v>
      </c>
    </row>
    <row r="19" spans="1:13">
      <c r="A19" s="27">
        <f t="shared" si="0"/>
        <v>13</v>
      </c>
      <c r="B19" s="39"/>
      <c r="E19" s="32"/>
      <c r="F19" s="36"/>
      <c r="G19" s="36"/>
      <c r="H19" s="34"/>
      <c r="I19" s="34"/>
      <c r="J19" s="34"/>
      <c r="K19" s="35"/>
      <c r="M19" s="10"/>
    </row>
    <row r="20" spans="1:13">
      <c r="A20" s="27">
        <f t="shared" si="0"/>
        <v>14</v>
      </c>
      <c r="B20" s="39" t="s">
        <v>12</v>
      </c>
      <c r="D20" s="10">
        <f>SUM(D16:D19)</f>
        <v>1477398000</v>
      </c>
      <c r="E20" s="32">
        <f>SUM(E16:E19)</f>
        <v>126604000</v>
      </c>
      <c r="F20" s="33">
        <v>0</v>
      </c>
      <c r="G20" s="33">
        <f>ROUND(SUMPRODUCT($D16:$D18,G16:G18)/$D20,6)</f>
        <v>9.6000000000000002E-5</v>
      </c>
      <c r="H20" s="34">
        <f>SUM(H16:H19)</f>
        <v>126604000</v>
      </c>
      <c r="I20" s="34">
        <f>SUM(I16:I19)</f>
        <v>126745359.98038507</v>
      </c>
      <c r="J20" s="34">
        <f>SUM(J16:J19)</f>
        <v>141359.98038507067</v>
      </c>
      <c r="K20" s="35">
        <f t="shared" ref="K20" si="6">+J20/H20</f>
        <v>1.1165522446768717E-3</v>
      </c>
    </row>
    <row r="21" spans="1:13">
      <c r="A21" s="27">
        <f t="shared" si="0"/>
        <v>15</v>
      </c>
      <c r="B21" s="39"/>
      <c r="E21" s="32"/>
      <c r="F21" s="36"/>
      <c r="G21" s="36"/>
      <c r="H21" s="34"/>
      <c r="I21" s="34"/>
      <c r="J21" s="34"/>
      <c r="K21" s="35"/>
    </row>
    <row r="22" spans="1:13">
      <c r="A22" s="27">
        <f t="shared" si="0"/>
        <v>16</v>
      </c>
      <c r="B22" s="39" t="s">
        <v>29</v>
      </c>
      <c r="C22" s="9">
        <f>+'Rate Spread'!C18</f>
        <v>40</v>
      </c>
      <c r="D22" s="10">
        <v>238028000</v>
      </c>
      <c r="E22" s="32">
        <v>18303000</v>
      </c>
      <c r="F22" s="33">
        <v>0</v>
      </c>
      <c r="G22" s="33">
        <f>+'Rate Spread'!L17</f>
        <v>1.0064584073025387E-4</v>
      </c>
      <c r="H22" s="34">
        <f>+F22*D22+E22</f>
        <v>18303000</v>
      </c>
      <c r="I22" s="34">
        <f>+E22+G22*D22</f>
        <v>18326956.52817734</v>
      </c>
      <c r="J22" s="34">
        <f>+I22-H22</f>
        <v>23956.528177339584</v>
      </c>
      <c r="K22" s="35">
        <f t="shared" ref="K22" si="7">+J22/H22</f>
        <v>1.3088853290356545E-3</v>
      </c>
    </row>
    <row r="23" spans="1:13">
      <c r="A23" s="27">
        <f t="shared" si="0"/>
        <v>17</v>
      </c>
      <c r="B23" s="39"/>
      <c r="E23" s="32"/>
      <c r="F23" s="36"/>
      <c r="G23" s="36"/>
      <c r="H23" s="34"/>
      <c r="I23" s="34"/>
      <c r="J23" s="34"/>
      <c r="K23" s="35"/>
    </row>
    <row r="24" spans="1:13">
      <c r="A24" s="27">
        <f t="shared" si="0"/>
        <v>18</v>
      </c>
      <c r="B24" s="38" t="s">
        <v>13</v>
      </c>
      <c r="C24" s="9">
        <f>+'Rate Spread'!C20</f>
        <v>46</v>
      </c>
      <c r="D24" s="10">
        <v>68162000</v>
      </c>
      <c r="E24" s="32">
        <v>4729000</v>
      </c>
      <c r="F24" s="33">
        <v>0</v>
      </c>
      <c r="G24" s="33">
        <f>+'Rate Spread'!L20</f>
        <v>6.8117776301018665E-5</v>
      </c>
      <c r="H24" s="34">
        <f>+F24*D24+E24</f>
        <v>4729000</v>
      </c>
      <c r="I24" s="34">
        <f>+E24+G24*D24</f>
        <v>4733643.0438682297</v>
      </c>
      <c r="J24" s="34">
        <f t="shared" ref="J24:J25" si="8">+I24-H24</f>
        <v>4643.0438682297245</v>
      </c>
      <c r="K24" s="35">
        <f t="shared" ref="K24:K25" si="9">+J24/H24</f>
        <v>9.818236134975099E-4</v>
      </c>
    </row>
    <row r="25" spans="1:13">
      <c r="A25" s="27">
        <f t="shared" si="0"/>
        <v>19</v>
      </c>
      <c r="B25" s="37" t="s">
        <v>14</v>
      </c>
      <c r="C25" s="9">
        <f>+'Rate Spread'!C21</f>
        <v>49</v>
      </c>
      <c r="D25" s="10">
        <v>627591000</v>
      </c>
      <c r="E25" s="32">
        <v>42398000</v>
      </c>
      <c r="F25" s="33">
        <v>0</v>
      </c>
      <c r="G25" s="33">
        <f>+'Rate Spread'!L21</f>
        <v>8.852920783067512E-5</v>
      </c>
      <c r="H25" s="34">
        <f>+F25*D25+E25</f>
        <v>42398000</v>
      </c>
      <c r="I25" s="34">
        <f>+E25+G25*D25</f>
        <v>42453560.134071663</v>
      </c>
      <c r="J25" s="34">
        <f t="shared" si="8"/>
        <v>55560.134071663022</v>
      </c>
      <c r="K25" s="35">
        <f t="shared" si="9"/>
        <v>1.3104423338757259E-3</v>
      </c>
    </row>
    <row r="26" spans="1:13">
      <c r="A26" s="27">
        <f t="shared" si="0"/>
        <v>20</v>
      </c>
      <c r="E26" s="32"/>
      <c r="F26" s="36"/>
      <c r="G26" s="36"/>
      <c r="H26" s="34"/>
      <c r="I26" s="34"/>
      <c r="J26" s="34"/>
      <c r="K26" s="35"/>
    </row>
    <row r="27" spans="1:13">
      <c r="A27" s="27">
        <f t="shared" si="0"/>
        <v>21</v>
      </c>
      <c r="B27" s="40" t="s">
        <v>15</v>
      </c>
      <c r="D27" s="10">
        <f>SUM(D24:D26)</f>
        <v>695753000</v>
      </c>
      <c r="E27" s="32">
        <f>SUM(E24:E26)</f>
        <v>47127000</v>
      </c>
      <c r="F27" s="33">
        <v>0</v>
      </c>
      <c r="G27" s="33">
        <f>ROUND(SUMPRODUCT($D24:$D25,G24:G25)/$D27,6)</f>
        <v>8.7000000000000001E-5</v>
      </c>
      <c r="H27" s="10">
        <f>SUM(H24:H26)</f>
        <v>47127000</v>
      </c>
      <c r="I27" s="10">
        <f>SUM(I24:I26)</f>
        <v>47187203.177939892</v>
      </c>
      <c r="J27" s="34">
        <f>SUM(J24:J26)</f>
        <v>60203.177939892747</v>
      </c>
      <c r="K27" s="35">
        <f t="shared" ref="K27" si="10">+J27/H27</f>
        <v>1.2774668011944904E-3</v>
      </c>
    </row>
    <row r="28" spans="1:13">
      <c r="A28" s="27">
        <f t="shared" si="0"/>
        <v>22</v>
      </c>
      <c r="E28" s="32"/>
      <c r="F28" s="36"/>
      <c r="G28" s="36"/>
      <c r="H28" s="34"/>
      <c r="I28" s="34"/>
      <c r="J28" s="34"/>
      <c r="K28" s="35"/>
    </row>
    <row r="29" spans="1:13">
      <c r="A29" s="27">
        <f t="shared" si="0"/>
        <v>23</v>
      </c>
      <c r="B29" s="4" t="s">
        <v>16</v>
      </c>
      <c r="C29" s="9" t="str">
        <f>+'Rate Spread'!C23</f>
        <v>50-59</v>
      </c>
      <c r="D29" s="10">
        <v>71693000</v>
      </c>
      <c r="E29" s="32">
        <v>17073000</v>
      </c>
      <c r="F29" s="33">
        <v>0</v>
      </c>
      <c r="G29" s="33">
        <f>+'Rate Spread'!L23</f>
        <v>1.1881516409176469E-4</v>
      </c>
      <c r="H29" s="34">
        <f>+F29*D29+E29</f>
        <v>17073000</v>
      </c>
      <c r="I29" s="34">
        <f>+E29+G29*D29</f>
        <v>17081518.215559229</v>
      </c>
      <c r="J29" s="34">
        <f>+I29-H29</f>
        <v>8518.2155592292547</v>
      </c>
      <c r="K29" s="35">
        <f t="shared" ref="K29" si="11">+J29/H29</f>
        <v>4.9892904347386248E-4</v>
      </c>
    </row>
    <row r="30" spans="1:13">
      <c r="A30" s="27">
        <f t="shared" si="0"/>
        <v>24</v>
      </c>
      <c r="E30" s="32"/>
      <c r="F30" s="36"/>
      <c r="G30" s="36"/>
      <c r="H30" s="34"/>
      <c r="I30" s="34"/>
      <c r="J30" s="34"/>
      <c r="K30" s="41"/>
    </row>
    <row r="31" spans="1:13">
      <c r="A31" s="27">
        <f t="shared" si="0"/>
        <v>25</v>
      </c>
      <c r="B31" s="4" t="s">
        <v>21</v>
      </c>
      <c r="C31" s="9">
        <f>+'Rate Spread'!C25</f>
        <v>5</v>
      </c>
      <c r="D31" s="10">
        <v>6997000</v>
      </c>
      <c r="E31" s="32">
        <v>729000</v>
      </c>
      <c r="F31" s="33">
        <v>0</v>
      </c>
      <c r="G31" s="33">
        <f>+'Rate Spread'!L25</f>
        <v>1.1450924456964971E-4</v>
      </c>
      <c r="H31" s="34">
        <f>+F31*D31+E31</f>
        <v>729000</v>
      </c>
      <c r="I31" s="34">
        <f>+E31+G31*D31</f>
        <v>729801.22118425381</v>
      </c>
      <c r="J31" s="34">
        <f>+I31-H31</f>
        <v>801.22118425380904</v>
      </c>
      <c r="K31" s="35">
        <f t="shared" ref="K31" si="12">+J31/H31</f>
        <v>1.0990688398543334E-3</v>
      </c>
    </row>
    <row r="32" spans="1:13">
      <c r="A32" s="27">
        <f t="shared" si="0"/>
        <v>26</v>
      </c>
      <c r="E32" s="32"/>
      <c r="F32" s="33"/>
      <c r="G32" s="33"/>
      <c r="H32" s="34"/>
      <c r="I32" s="34"/>
      <c r="J32" s="34"/>
      <c r="K32" s="35"/>
    </row>
    <row r="33" spans="1:11">
      <c r="A33" s="27">
        <f t="shared" si="0"/>
        <v>27</v>
      </c>
      <c r="B33" s="40" t="s">
        <v>17</v>
      </c>
      <c r="D33" s="10">
        <f>SUM(D31,D29,D27,D22,D20,D14,D7)</f>
        <v>21117813000</v>
      </c>
      <c r="E33" s="32">
        <f>SUM(E31,E29,E27,E22,E20,E14,E7)</f>
        <v>2139673000</v>
      </c>
      <c r="F33" s="33">
        <v>0</v>
      </c>
      <c r="G33" s="33">
        <f>ROUND(($D7*G7+$D14*G14+$D20*G20+$D22*G22+$D27*G27+$D29*G29+$D31*G31)/$D33,6)</f>
        <v>1.0900000000000001E-4</v>
      </c>
      <c r="H33" s="32">
        <f t="shared" ref="H33:J33" si="13">SUM(H31,H29,H27,H22,H20,H14,H7)</f>
        <v>2139673000</v>
      </c>
      <c r="I33" s="32">
        <f t="shared" si="13"/>
        <v>2141985257.3260002</v>
      </c>
      <c r="J33" s="32">
        <f t="shared" si="13"/>
        <v>2312257.3260001969</v>
      </c>
      <c r="K33" s="35">
        <f>J33/(E33+(D33*F33))</f>
        <v>1.0806592063367611E-3</v>
      </c>
    </row>
    <row r="34" spans="1:11">
      <c r="A34" s="27">
        <f t="shared" si="0"/>
        <v>28</v>
      </c>
      <c r="B34" s="40"/>
      <c r="E34" s="32"/>
      <c r="F34" s="36"/>
      <c r="G34" s="36"/>
      <c r="H34" s="34"/>
      <c r="I34" s="34"/>
      <c r="J34" s="34"/>
      <c r="K34" s="35"/>
    </row>
    <row r="35" spans="1:11">
      <c r="A35" s="27">
        <f t="shared" si="0"/>
        <v>29</v>
      </c>
      <c r="B35" s="40" t="s">
        <v>52</v>
      </c>
      <c r="C35" s="9" t="str">
        <f>+'Rate Spread'!C29</f>
        <v>449 / 459</v>
      </c>
      <c r="D35" s="10">
        <v>2023499000</v>
      </c>
      <c r="E35" s="32">
        <v>7681000</v>
      </c>
      <c r="F35" s="33">
        <v>0</v>
      </c>
      <c r="G35" s="33">
        <v>0</v>
      </c>
      <c r="H35" s="34">
        <f>+F35*D35+E35</f>
        <v>7681000</v>
      </c>
      <c r="I35" s="34">
        <f>+E35+G35*D35</f>
        <v>7681000</v>
      </c>
      <c r="J35" s="34">
        <f t="shared" ref="J35" si="14">+I35-H35</f>
        <v>0</v>
      </c>
      <c r="K35" s="35">
        <f t="shared" ref="K35:K37" si="15">+J35/H35</f>
        <v>0</v>
      </c>
    </row>
    <row r="36" spans="1:11">
      <c r="A36" s="27">
        <f t="shared" si="0"/>
        <v>30</v>
      </c>
      <c r="E36" s="32"/>
      <c r="F36" s="36"/>
      <c r="G36" s="36"/>
      <c r="H36" s="34"/>
      <c r="I36" s="34"/>
      <c r="J36" s="34"/>
      <c r="K36" s="41"/>
    </row>
    <row r="37" spans="1:11">
      <c r="A37" s="27">
        <f t="shared" si="0"/>
        <v>31</v>
      </c>
      <c r="B37" s="40" t="s">
        <v>18</v>
      </c>
      <c r="D37" s="10">
        <f>SUM(D35,D33)</f>
        <v>23141312000</v>
      </c>
      <c r="E37" s="32">
        <f>SUM(E35,E33)</f>
        <v>2147354000</v>
      </c>
      <c r="F37" s="33"/>
      <c r="G37" s="33"/>
      <c r="H37" s="32">
        <f>SUM(H35,H33)</f>
        <v>2147354000</v>
      </c>
      <c r="I37" s="32">
        <f>SUM(I35,I33)</f>
        <v>2149666257.3260002</v>
      </c>
      <c r="J37" s="32">
        <f>SUM(J35,J33)</f>
        <v>2312257.3260001969</v>
      </c>
      <c r="K37" s="35">
        <f t="shared" si="15"/>
        <v>1.0767937312619145E-3</v>
      </c>
    </row>
    <row r="38" spans="1:11" ht="13.5" thickBot="1">
      <c r="A38" s="42"/>
      <c r="B38" s="43"/>
      <c r="C38" s="44"/>
      <c r="D38" s="45"/>
      <c r="E38" s="45"/>
      <c r="F38" s="43"/>
      <c r="G38" s="43"/>
      <c r="H38" s="45"/>
      <c r="I38" s="45"/>
      <c r="J38" s="43"/>
      <c r="K38" s="46"/>
    </row>
    <row r="40" spans="1:1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ht="11.45" customHeight="1"/>
    <row r="43" spans="1:11">
      <c r="J43" s="34"/>
    </row>
  </sheetData>
  <mergeCells count="3">
    <mergeCell ref="A1:K1"/>
    <mergeCell ref="A2:K2"/>
    <mergeCell ref="A40:K40"/>
  </mergeCells>
  <printOptions horizontalCentered="1"/>
  <pageMargins left="0.7" right="0.7" top="1" bottom="0.75" header="0.3" footer="0.3"/>
  <pageSetup scale="79" orientation="landscape" horizontalDpi="4294967292" r:id="rId1"/>
  <headerFooter alignWithMargins="0">
    <oddFooter>&amp;R&amp;"Times New Roman,Regular"Exhibit No.___(JAP-38)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3063AF9-2EBE-4C9D-96CB-E4F76701B3B3}"/>
</file>

<file path=customXml/itemProps2.xml><?xml version="1.0" encoding="utf-8"?>
<ds:datastoreItem xmlns:ds="http://schemas.openxmlformats.org/officeDocument/2006/customXml" ds:itemID="{6EF8AD64-0437-4E1D-B714-DF6F9802ED85}"/>
</file>

<file path=customXml/itemProps3.xml><?xml version="1.0" encoding="utf-8"?>
<ds:datastoreItem xmlns:ds="http://schemas.openxmlformats.org/officeDocument/2006/customXml" ds:itemID="{A0D2D11D-9C33-4257-803F-B0E943CE792C}"/>
</file>

<file path=customXml/itemProps4.xml><?xml version="1.0" encoding="utf-8"?>
<ds:datastoreItem xmlns:ds="http://schemas.openxmlformats.org/officeDocument/2006/customXml" ds:itemID="{2769956C-BEE6-4750-B85D-BD122023D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 Spread</vt:lpstr>
      <vt:lpstr>Rate Impacts</vt:lpstr>
      <vt:lpstr>'Rate Impacts'!Print_Area</vt:lpstr>
      <vt:lpstr>'Rate Spread'!Print_Area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Rasanen</dc:creator>
  <cp:lastModifiedBy>No Name</cp:lastModifiedBy>
  <cp:lastPrinted>2017-04-03T17:02:07Z</cp:lastPrinted>
  <dcterms:created xsi:type="dcterms:W3CDTF">2001-02-07T23:54:25Z</dcterms:created>
  <dcterms:modified xsi:type="dcterms:W3CDTF">2017-04-03T17:02:14Z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