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Revision 01.10.19 wout % Increa" sheetId="2" r:id="rId1"/>
    <sheet name="Revision 01.10.19" sheetId="1" r:id="rId2"/>
  </sheets>
  <definedNames>
    <definedName name="_xlnm.Print_Area" localSheetId="0">'Revision 01.10.19 wout % Increa'!$A$1:$X$193</definedName>
  </definedNames>
  <calcPr calcId="152511"/>
</workbook>
</file>

<file path=xl/calcChain.xml><?xml version="1.0" encoding="utf-8"?>
<calcChain xmlns="http://schemas.openxmlformats.org/spreadsheetml/2006/main">
  <c r="N184" i="2" l="1"/>
  <c r="L184" i="2"/>
  <c r="I184" i="2"/>
  <c r="E184" i="2"/>
  <c r="C184" i="2"/>
  <c r="G179" i="2"/>
  <c r="E179" i="2"/>
  <c r="C177" i="2"/>
  <c r="G176" i="2"/>
  <c r="C176" i="2"/>
  <c r="L174" i="2"/>
  <c r="I174" i="2"/>
  <c r="AB172" i="2"/>
  <c r="R165" i="2"/>
  <c r="R186" i="2" s="1"/>
  <c r="Y163" i="2"/>
  <c r="W163" i="2"/>
  <c r="U163" i="2"/>
  <c r="R163" i="2"/>
  <c r="P163" i="2"/>
  <c r="N163" i="2"/>
  <c r="L163" i="2"/>
  <c r="K163" i="2" s="1"/>
  <c r="I163" i="2"/>
  <c r="H163" i="2"/>
  <c r="G163" i="2"/>
  <c r="E163" i="2"/>
  <c r="C163" i="2"/>
  <c r="I162" i="2"/>
  <c r="I165" i="2" s="1"/>
  <c r="I186" i="2" s="1"/>
  <c r="V160" i="2"/>
  <c r="V162" i="2" s="1"/>
  <c r="T160" i="2"/>
  <c r="T162" i="2" s="1"/>
  <c r="N160" i="2"/>
  <c r="N162" i="2" s="1"/>
  <c r="L160" i="2"/>
  <c r="L162" i="2" s="1"/>
  <c r="E160" i="2"/>
  <c r="E162" i="2" s="1"/>
  <c r="Z157" i="2"/>
  <c r="Z160" i="2" s="1"/>
  <c r="Z162" i="2" s="1"/>
  <c r="T157" i="2"/>
  <c r="R157" i="2"/>
  <c r="R160" i="2" s="1"/>
  <c r="R162" i="2" s="1"/>
  <c r="P157" i="2"/>
  <c r="P160" i="2" s="1"/>
  <c r="P162" i="2" s="1"/>
  <c r="P165" i="2" s="1"/>
  <c r="P186" i="2" s="1"/>
  <c r="N157" i="2"/>
  <c r="L157" i="2"/>
  <c r="I157" i="2"/>
  <c r="I160" i="2" s="1"/>
  <c r="G157" i="2"/>
  <c r="G160" i="2" s="1"/>
  <c r="G162" i="2" s="1"/>
  <c r="G165" i="2" s="1"/>
  <c r="G186" i="2" s="1"/>
  <c r="E157" i="2"/>
  <c r="C157" i="2"/>
  <c r="C160" i="2" s="1"/>
  <c r="C162" i="2" s="1"/>
  <c r="C165" i="2" s="1"/>
  <c r="C186" i="2" s="1"/>
  <c r="AB154" i="2"/>
  <c r="AB153" i="2"/>
  <c r="X152" i="2"/>
  <c r="Z152" i="2" s="1"/>
  <c r="AA152" i="2" s="1"/>
  <c r="V152" i="2"/>
  <c r="V157" i="2" s="1"/>
  <c r="AB149" i="2"/>
  <c r="P147" i="2"/>
  <c r="C147" i="2"/>
  <c r="C185" i="2" s="1"/>
  <c r="Y145" i="2"/>
  <c r="W145" i="2"/>
  <c r="U145" i="2"/>
  <c r="R145" i="2"/>
  <c r="Q145" i="2"/>
  <c r="P145" i="2"/>
  <c r="N145" i="2"/>
  <c r="M145" i="2"/>
  <c r="L145" i="2"/>
  <c r="I145" i="2"/>
  <c r="K145" i="2" s="1"/>
  <c r="H145" i="2"/>
  <c r="G145" i="2"/>
  <c r="E145" i="2"/>
  <c r="F145" i="2" s="1"/>
  <c r="D145" i="2"/>
  <c r="C145" i="2"/>
  <c r="I144" i="2"/>
  <c r="I147" i="2" s="1"/>
  <c r="I185" i="2" s="1"/>
  <c r="I189" i="2" s="1"/>
  <c r="E144" i="2"/>
  <c r="G143" i="2"/>
  <c r="P142" i="2"/>
  <c r="P144" i="2" s="1"/>
  <c r="N140" i="2"/>
  <c r="N142" i="2" s="1"/>
  <c r="N144" i="2" s="1"/>
  <c r="N147" i="2" s="1"/>
  <c r="N185" i="2" s="1"/>
  <c r="L140" i="2"/>
  <c r="L142" i="2" s="1"/>
  <c r="L144" i="2" s="1"/>
  <c r="L147" i="2" s="1"/>
  <c r="L185" i="2" s="1"/>
  <c r="E140" i="2"/>
  <c r="E142" i="2" s="1"/>
  <c r="C140" i="2"/>
  <c r="C142" i="2" s="1"/>
  <c r="C144" i="2" s="1"/>
  <c r="T139" i="2"/>
  <c r="V139" i="2" s="1"/>
  <c r="X139" i="2" s="1"/>
  <c r="Z139" i="2" s="1"/>
  <c r="AA139" i="2" s="1"/>
  <c r="AB139" i="2" s="1"/>
  <c r="R139" i="2"/>
  <c r="P139" i="2"/>
  <c r="P140" i="2" s="1"/>
  <c r="N139" i="2"/>
  <c r="I139" i="2"/>
  <c r="I140" i="2" s="1"/>
  <c r="I142" i="2" s="1"/>
  <c r="G139" i="2"/>
  <c r="G140" i="2" s="1"/>
  <c r="G142" i="2" s="1"/>
  <c r="G144" i="2" s="1"/>
  <c r="G147" i="2" s="1"/>
  <c r="G185" i="2" s="1"/>
  <c r="X137" i="2"/>
  <c r="V137" i="2"/>
  <c r="T137" i="2"/>
  <c r="R137" i="2"/>
  <c r="AA136" i="2"/>
  <c r="Z136" i="2"/>
  <c r="X136" i="2"/>
  <c r="V136" i="2"/>
  <c r="T136" i="2"/>
  <c r="T140" i="2" s="1"/>
  <c r="T142" i="2" s="1"/>
  <c r="T144" i="2" s="1"/>
  <c r="R136" i="2"/>
  <c r="V135" i="2"/>
  <c r="X135" i="2" s="1"/>
  <c r="X140" i="2" s="1"/>
  <c r="X142" i="2" s="1"/>
  <c r="X144" i="2" s="1"/>
  <c r="AB132" i="2"/>
  <c r="E130" i="2"/>
  <c r="Y128" i="2"/>
  <c r="W128" i="2"/>
  <c r="U128" i="2"/>
  <c r="T128" i="2"/>
  <c r="V128" i="2" s="1"/>
  <c r="X128" i="2" s="1"/>
  <c r="Z128" i="2" s="1"/>
  <c r="AA128" i="2" s="1"/>
  <c r="AB128" i="2" s="1"/>
  <c r="R128" i="2"/>
  <c r="Q128" i="2"/>
  <c r="P128" i="2"/>
  <c r="I128" i="2"/>
  <c r="H128" i="2"/>
  <c r="F128" i="2"/>
  <c r="D128" i="2"/>
  <c r="I126" i="2"/>
  <c r="G126" i="2"/>
  <c r="E126" i="2"/>
  <c r="C126" i="2"/>
  <c r="R124" i="2"/>
  <c r="L124" i="2"/>
  <c r="I124" i="2"/>
  <c r="I127" i="2" s="1"/>
  <c r="T122" i="2"/>
  <c r="T124" i="2" s="1"/>
  <c r="I122" i="2"/>
  <c r="E122" i="2"/>
  <c r="E124" i="2" s="1"/>
  <c r="C122" i="2"/>
  <c r="C124" i="2" s="1"/>
  <c r="C127" i="2" s="1"/>
  <c r="T121" i="2"/>
  <c r="V121" i="2" s="1"/>
  <c r="X121" i="2" s="1"/>
  <c r="Z121" i="2" s="1"/>
  <c r="AA121" i="2" s="1"/>
  <c r="AB121" i="2" s="1"/>
  <c r="P121" i="2"/>
  <c r="N121" i="2"/>
  <c r="L121" i="2"/>
  <c r="G121" i="2"/>
  <c r="G122" i="2" s="1"/>
  <c r="G124" i="2" s="1"/>
  <c r="G127" i="2" s="1"/>
  <c r="G130" i="2" s="1"/>
  <c r="G184" i="2" s="1"/>
  <c r="T120" i="2"/>
  <c r="V120" i="2" s="1"/>
  <c r="R120" i="2"/>
  <c r="R122" i="2" s="1"/>
  <c r="P120" i="2"/>
  <c r="N120" i="2"/>
  <c r="N122" i="2" s="1"/>
  <c r="N124" i="2" s="1"/>
  <c r="L120" i="2"/>
  <c r="L122" i="2" s="1"/>
  <c r="G120" i="2"/>
  <c r="Z119" i="2"/>
  <c r="X119" i="2"/>
  <c r="AB118" i="2"/>
  <c r="AB136" i="2" s="1"/>
  <c r="V117" i="2"/>
  <c r="X117" i="2" s="1"/>
  <c r="P117" i="2"/>
  <c r="P122" i="2" s="1"/>
  <c r="P124" i="2" s="1"/>
  <c r="AB114" i="2"/>
  <c r="R111" i="2"/>
  <c r="R179" i="2" s="1"/>
  <c r="N111" i="2"/>
  <c r="N179" i="2" s="1"/>
  <c r="L111" i="2"/>
  <c r="L179" i="2" s="1"/>
  <c r="I111" i="2"/>
  <c r="I179" i="2" s="1"/>
  <c r="G111" i="2"/>
  <c r="E111" i="2"/>
  <c r="C111" i="2"/>
  <c r="C179" i="2" s="1"/>
  <c r="Y108" i="2"/>
  <c r="W108" i="2"/>
  <c r="U108" i="2"/>
  <c r="T108" i="2"/>
  <c r="R108" i="2"/>
  <c r="P108" i="2"/>
  <c r="P111" i="2" s="1"/>
  <c r="O108" i="2" s="1"/>
  <c r="M108" i="2"/>
  <c r="L108" i="2"/>
  <c r="K108" i="2"/>
  <c r="I108" i="2"/>
  <c r="H108" i="2"/>
  <c r="E108" i="2"/>
  <c r="C108" i="2"/>
  <c r="AB101" i="2"/>
  <c r="V101" i="2"/>
  <c r="X101" i="2" s="1"/>
  <c r="Z101" i="2" s="1"/>
  <c r="AA101" i="2" s="1"/>
  <c r="AB97" i="2"/>
  <c r="Y93" i="2"/>
  <c r="W93" i="2"/>
  <c r="U93" i="2"/>
  <c r="R93" i="2"/>
  <c r="Q93" i="2"/>
  <c r="P93" i="2"/>
  <c r="M93" i="2"/>
  <c r="K93" i="2"/>
  <c r="I93" i="2"/>
  <c r="H93" i="2"/>
  <c r="F93" i="2"/>
  <c r="D93" i="2"/>
  <c r="L92" i="2"/>
  <c r="L95" i="2" s="1"/>
  <c r="L178" i="2" s="1"/>
  <c r="T90" i="2"/>
  <c r="T92" i="2" s="1"/>
  <c r="T93" i="2" s="1"/>
  <c r="R90" i="2"/>
  <c r="R92" i="2" s="1"/>
  <c r="R95" i="2" s="1"/>
  <c r="R178" i="2" s="1"/>
  <c r="L90" i="2"/>
  <c r="G90" i="2"/>
  <c r="G92" i="2" s="1"/>
  <c r="G95" i="2" s="1"/>
  <c r="G178" i="2" s="1"/>
  <c r="P88" i="2"/>
  <c r="P90" i="2" s="1"/>
  <c r="P92" i="2" s="1"/>
  <c r="P95" i="2" s="1"/>
  <c r="N88" i="2"/>
  <c r="N90" i="2" s="1"/>
  <c r="N92" i="2" s="1"/>
  <c r="N95" i="2" s="1"/>
  <c r="N178" i="2" s="1"/>
  <c r="C88" i="2"/>
  <c r="C90" i="2" s="1"/>
  <c r="C92" i="2" s="1"/>
  <c r="C95" i="2" s="1"/>
  <c r="C178" i="2" s="1"/>
  <c r="V85" i="2"/>
  <c r="V88" i="2" s="1"/>
  <c r="V90" i="2" s="1"/>
  <c r="V92" i="2" s="1"/>
  <c r="R85" i="2"/>
  <c r="R88" i="2" s="1"/>
  <c r="P85" i="2"/>
  <c r="N85" i="2"/>
  <c r="L85" i="2"/>
  <c r="I85" i="2"/>
  <c r="I88" i="2" s="1"/>
  <c r="I90" i="2" s="1"/>
  <c r="I92" i="2" s="1"/>
  <c r="I95" i="2" s="1"/>
  <c r="I178" i="2" s="1"/>
  <c r="E85" i="2"/>
  <c r="E88" i="2" s="1"/>
  <c r="E90" i="2" s="1"/>
  <c r="E92" i="2" s="1"/>
  <c r="E95" i="2" s="1"/>
  <c r="E178" i="2" s="1"/>
  <c r="AB82" i="2"/>
  <c r="AA82" i="2"/>
  <c r="Z82" i="2"/>
  <c r="X82" i="2"/>
  <c r="V82" i="2"/>
  <c r="T82" i="2"/>
  <c r="T85" i="2" s="1"/>
  <c r="T88" i="2" s="1"/>
  <c r="R82" i="2"/>
  <c r="P82" i="2"/>
  <c r="I82" i="2"/>
  <c r="G82" i="2"/>
  <c r="E82" i="2"/>
  <c r="C82" i="2"/>
  <c r="I81" i="2"/>
  <c r="G81" i="2"/>
  <c r="G85" i="2" s="1"/>
  <c r="G88" i="2" s="1"/>
  <c r="E81" i="2"/>
  <c r="C81" i="2"/>
  <c r="C85" i="2" s="1"/>
  <c r="V80" i="2"/>
  <c r="X80" i="2" s="1"/>
  <c r="Z80" i="2" s="1"/>
  <c r="Z85" i="2" s="1"/>
  <c r="Z88" i="2" s="1"/>
  <c r="Z90" i="2" s="1"/>
  <c r="Z92" i="2" s="1"/>
  <c r="AB77" i="2"/>
  <c r="Y73" i="2"/>
  <c r="W73" i="2"/>
  <c r="U73" i="2"/>
  <c r="R73" i="2"/>
  <c r="Q73" i="2" s="1"/>
  <c r="P73" i="2"/>
  <c r="N73" i="2"/>
  <c r="L73" i="2"/>
  <c r="K73" i="2" s="1"/>
  <c r="I73" i="2"/>
  <c r="H73" i="2" s="1"/>
  <c r="F73" i="2"/>
  <c r="D73" i="2"/>
  <c r="R69" i="2"/>
  <c r="P69" i="2"/>
  <c r="N69" i="2"/>
  <c r="L69" i="2"/>
  <c r="I69" i="2"/>
  <c r="G69" i="2"/>
  <c r="C69" i="2"/>
  <c r="T68" i="2"/>
  <c r="T69" i="2" s="1"/>
  <c r="V69" i="2" s="1"/>
  <c r="X69" i="2" s="1"/>
  <c r="Z69" i="2" s="1"/>
  <c r="AA69" i="2" s="1"/>
  <c r="AB69" i="2" s="1"/>
  <c r="L66" i="2"/>
  <c r="L68" i="2" s="1"/>
  <c r="L70" i="2" s="1"/>
  <c r="L72" i="2" s="1"/>
  <c r="L75" i="2" s="1"/>
  <c r="L177" i="2" s="1"/>
  <c r="I66" i="2"/>
  <c r="G66" i="2"/>
  <c r="E66" i="2"/>
  <c r="C66" i="2"/>
  <c r="G65" i="2"/>
  <c r="G68" i="2" s="1"/>
  <c r="G70" i="2" s="1"/>
  <c r="G72" i="2" s="1"/>
  <c r="G75" i="2" s="1"/>
  <c r="G177" i="2" s="1"/>
  <c r="E65" i="2"/>
  <c r="T64" i="2"/>
  <c r="V64" i="2" s="1"/>
  <c r="X64" i="2" s="1"/>
  <c r="Z64" i="2" s="1"/>
  <c r="AA64" i="2" s="1"/>
  <c r="AB64" i="2" s="1"/>
  <c r="R64" i="2"/>
  <c r="N64" i="2"/>
  <c r="N65" i="2" s="1"/>
  <c r="N68" i="2" s="1"/>
  <c r="N70" i="2" s="1"/>
  <c r="N72" i="2" s="1"/>
  <c r="N75" i="2" s="1"/>
  <c r="N177" i="2" s="1"/>
  <c r="I64" i="2"/>
  <c r="G64" i="2"/>
  <c r="T62" i="2"/>
  <c r="T65" i="2" s="1"/>
  <c r="R62" i="2"/>
  <c r="R65" i="2" s="1"/>
  <c r="R68" i="2" s="1"/>
  <c r="R70" i="2" s="1"/>
  <c r="R72" i="2" s="1"/>
  <c r="R75" i="2" s="1"/>
  <c r="R177" i="2" s="1"/>
  <c r="P62" i="2"/>
  <c r="N62" i="2"/>
  <c r="L62" i="2"/>
  <c r="L65" i="2" s="1"/>
  <c r="I62" i="2"/>
  <c r="I65" i="2" s="1"/>
  <c r="I68" i="2" s="1"/>
  <c r="I70" i="2" s="1"/>
  <c r="I72" i="2" s="1"/>
  <c r="I75" i="2" s="1"/>
  <c r="I177" i="2" s="1"/>
  <c r="G62" i="2"/>
  <c r="E62" i="2"/>
  <c r="C62" i="2"/>
  <c r="C65" i="2" s="1"/>
  <c r="C68" i="2" s="1"/>
  <c r="C70" i="2" s="1"/>
  <c r="C72" i="2" s="1"/>
  <c r="C75" i="2" s="1"/>
  <c r="V60" i="2"/>
  <c r="V61" i="2" s="1"/>
  <c r="T60" i="2"/>
  <c r="R60" i="2"/>
  <c r="AA59" i="2"/>
  <c r="Z59" i="2"/>
  <c r="X59" i="2"/>
  <c r="V59" i="2"/>
  <c r="X57" i="2"/>
  <c r="V57" i="2"/>
  <c r="AB55" i="2"/>
  <c r="Y51" i="2"/>
  <c r="W51" i="2"/>
  <c r="U51" i="2"/>
  <c r="P51" i="2"/>
  <c r="N51" i="2"/>
  <c r="L51" i="2"/>
  <c r="I51" i="2"/>
  <c r="H51" i="2" s="1"/>
  <c r="F51" i="2"/>
  <c r="E51" i="2"/>
  <c r="D51" i="2"/>
  <c r="C51" i="2"/>
  <c r="P50" i="2"/>
  <c r="G50" i="2"/>
  <c r="G53" i="2" s="1"/>
  <c r="E50" i="2"/>
  <c r="E53" i="2" s="1"/>
  <c r="E176" i="2" s="1"/>
  <c r="V47" i="2"/>
  <c r="X47" i="2" s="1"/>
  <c r="Z47" i="2" s="1"/>
  <c r="AA47" i="2" s="1"/>
  <c r="AB47" i="2" s="1"/>
  <c r="T47" i="2"/>
  <c r="R47" i="2"/>
  <c r="P47" i="2"/>
  <c r="N47" i="2"/>
  <c r="L47" i="2"/>
  <c r="I47" i="2"/>
  <c r="G47" i="2"/>
  <c r="E47" i="2"/>
  <c r="C47" i="2"/>
  <c r="T46" i="2"/>
  <c r="T48" i="2" s="1"/>
  <c r="T50" i="2" s="1"/>
  <c r="R46" i="2"/>
  <c r="I46" i="2"/>
  <c r="I48" i="2" s="1"/>
  <c r="I50" i="2" s="1"/>
  <c r="I53" i="2" s="1"/>
  <c r="I176" i="2" s="1"/>
  <c r="G46" i="2"/>
  <c r="G48" i="2" s="1"/>
  <c r="E46" i="2"/>
  <c r="E48" i="2" s="1"/>
  <c r="C46" i="2"/>
  <c r="C48" i="2" s="1"/>
  <c r="C50" i="2" s="1"/>
  <c r="C53" i="2" s="1"/>
  <c r="V45" i="2"/>
  <c r="X45" i="2" s="1"/>
  <c r="T45" i="2"/>
  <c r="P45" i="2"/>
  <c r="P46" i="2" s="1"/>
  <c r="P48" i="2" s="1"/>
  <c r="N45" i="2"/>
  <c r="N46" i="2" s="1"/>
  <c r="N48" i="2" s="1"/>
  <c r="N50" i="2" s="1"/>
  <c r="N53" i="2" s="1"/>
  <c r="N176" i="2" s="1"/>
  <c r="L45" i="2"/>
  <c r="L46" i="2" s="1"/>
  <c r="L48" i="2" s="1"/>
  <c r="L50" i="2" s="1"/>
  <c r="L53" i="2" s="1"/>
  <c r="L176" i="2" s="1"/>
  <c r="I45" i="2"/>
  <c r="V42" i="2"/>
  <c r="AA40" i="2"/>
  <c r="Z40" i="2"/>
  <c r="X40" i="2"/>
  <c r="V40" i="2"/>
  <c r="AA39" i="2"/>
  <c r="Z39" i="2"/>
  <c r="X39" i="2"/>
  <c r="V39" i="2"/>
  <c r="V37" i="2"/>
  <c r="AB34" i="2"/>
  <c r="E32" i="2"/>
  <c r="E174" i="2" s="1"/>
  <c r="R30" i="2"/>
  <c r="P30" i="2"/>
  <c r="N30" i="2"/>
  <c r="G29" i="2"/>
  <c r="G32" i="2" s="1"/>
  <c r="G174" i="2" s="1"/>
  <c r="G181" i="2" s="1"/>
  <c r="E29" i="2"/>
  <c r="I26" i="2"/>
  <c r="G26" i="2"/>
  <c r="C26" i="2"/>
  <c r="I24" i="2"/>
  <c r="I27" i="2" s="1"/>
  <c r="I29" i="2" s="1"/>
  <c r="I30" i="2" s="1"/>
  <c r="H30" i="2" s="1"/>
  <c r="G24" i="2"/>
  <c r="G27" i="2" s="1"/>
  <c r="T22" i="2"/>
  <c r="T24" i="2" s="1"/>
  <c r="L22" i="2"/>
  <c r="L24" i="2" s="1"/>
  <c r="I22" i="2"/>
  <c r="G22" i="2"/>
  <c r="E22" i="2"/>
  <c r="E24" i="2" s="1"/>
  <c r="E26" i="2" s="1"/>
  <c r="C22" i="2"/>
  <c r="C24" i="2" s="1"/>
  <c r="C27" i="2" s="1"/>
  <c r="C29" i="2" s="1"/>
  <c r="C32" i="2" s="1"/>
  <c r="C174" i="2" s="1"/>
  <c r="C181" i="2" s="1"/>
  <c r="X21" i="2"/>
  <c r="Z21" i="2" s="1"/>
  <c r="AA21" i="2" s="1"/>
  <c r="AB21" i="2" s="1"/>
  <c r="V21" i="2"/>
  <c r="T21" i="2"/>
  <c r="R21" i="2"/>
  <c r="P21" i="2"/>
  <c r="N21" i="2"/>
  <c r="L21" i="2"/>
  <c r="T20" i="2"/>
  <c r="V20" i="2" s="1"/>
  <c r="R20" i="2"/>
  <c r="R22" i="2" s="1"/>
  <c r="R24" i="2" s="1"/>
  <c r="P20" i="2"/>
  <c r="N20" i="2"/>
  <c r="N22" i="2" s="1"/>
  <c r="N24" i="2" s="1"/>
  <c r="N26" i="2" s="1"/>
  <c r="L20" i="2"/>
  <c r="X19" i="2"/>
  <c r="V18" i="2"/>
  <c r="V41" i="2" s="1"/>
  <c r="AB16" i="2"/>
  <c r="AB40" i="2" s="1"/>
  <c r="AB15" i="2"/>
  <c r="AB39" i="2" s="1"/>
  <c r="V13" i="2"/>
  <c r="X13" i="2" s="1"/>
  <c r="V7" i="2"/>
  <c r="X7" i="2" s="1"/>
  <c r="Z7" i="2" s="1"/>
  <c r="AA7" i="2" s="1"/>
  <c r="AB7" i="2" s="1"/>
  <c r="X6" i="2"/>
  <c r="Z6" i="2" s="1"/>
  <c r="AA6" i="2" s="1"/>
  <c r="AB6" i="2" s="1"/>
  <c r="V6" i="2"/>
  <c r="V5" i="2"/>
  <c r="X5" i="2" s="1"/>
  <c r="Z5" i="2" s="1"/>
  <c r="AA5" i="2" s="1"/>
  <c r="AB5" i="2" s="1"/>
  <c r="R111" i="1"/>
  <c r="T30" i="1"/>
  <c r="T32" i="1"/>
  <c r="R26" i="2" l="1"/>
  <c r="T26" i="2" s="1"/>
  <c r="V26" i="2" s="1"/>
  <c r="X26" i="2" s="1"/>
  <c r="Z26" i="2" s="1"/>
  <c r="AA26" i="2" s="1"/>
  <c r="AB26" i="2" s="1"/>
  <c r="R27" i="2"/>
  <c r="R29" i="2" s="1"/>
  <c r="R32" i="2" s="1"/>
  <c r="R174" i="2" s="1"/>
  <c r="T51" i="2"/>
  <c r="T53" i="2"/>
  <c r="T176" i="2" s="1"/>
  <c r="T27" i="2"/>
  <c r="T29" i="2" s="1"/>
  <c r="T32" i="2" s="1"/>
  <c r="T174" i="2" s="1"/>
  <c r="I181" i="2"/>
  <c r="I191" i="2" s="1"/>
  <c r="N27" i="2"/>
  <c r="N29" i="2" s="1"/>
  <c r="N32" i="2" s="1"/>
  <c r="N174" i="2" s="1"/>
  <c r="N181" i="2" s="1"/>
  <c r="Z45" i="2"/>
  <c r="X61" i="2"/>
  <c r="P126" i="2"/>
  <c r="P127" i="2" s="1"/>
  <c r="P130" i="2" s="1"/>
  <c r="P184" i="2" s="1"/>
  <c r="P189" i="2" s="1"/>
  <c r="N126" i="2"/>
  <c r="N127" i="2" s="1"/>
  <c r="N128" i="2" s="1"/>
  <c r="L189" i="2"/>
  <c r="X42" i="2"/>
  <c r="X60" i="2"/>
  <c r="X62" i="2" s="1"/>
  <c r="X65" i="2" s="1"/>
  <c r="X68" i="2" s="1"/>
  <c r="X70" i="2" s="1"/>
  <c r="X72" i="2" s="1"/>
  <c r="Z19" i="2"/>
  <c r="P22" i="2"/>
  <c r="P24" i="2" s="1"/>
  <c r="V46" i="2"/>
  <c r="V48" i="2" s="1"/>
  <c r="V50" i="2" s="1"/>
  <c r="Z57" i="2"/>
  <c r="M73" i="2"/>
  <c r="O73" i="2"/>
  <c r="V93" i="2"/>
  <c r="X93" i="2" s="1"/>
  <c r="Z93" i="2" s="1"/>
  <c r="AA93" i="2" s="1"/>
  <c r="AB93" i="2" s="1"/>
  <c r="S93" i="2"/>
  <c r="T95" i="2"/>
  <c r="T178" i="2" s="1"/>
  <c r="Z117" i="2"/>
  <c r="X122" i="2"/>
  <c r="X124" i="2" s="1"/>
  <c r="Z137" i="2"/>
  <c r="AA119" i="2"/>
  <c r="G189" i="2"/>
  <c r="G191" i="2" s="1"/>
  <c r="L126" i="2"/>
  <c r="L127" i="2" s="1"/>
  <c r="L128" i="2" s="1"/>
  <c r="K128" i="2" s="1"/>
  <c r="C189" i="2"/>
  <c r="C191" i="2" s="1"/>
  <c r="C193" i="2" s="1"/>
  <c r="AB152" i="2"/>
  <c r="AB157" i="2" s="1"/>
  <c r="AB160" i="2" s="1"/>
  <c r="AB162" i="2" s="1"/>
  <c r="AA157" i="2"/>
  <c r="AA160" i="2" s="1"/>
  <c r="AA162" i="2" s="1"/>
  <c r="T163" i="2"/>
  <c r="N189" i="2"/>
  <c r="T30" i="2"/>
  <c r="V30" i="2" s="1"/>
  <c r="X30" i="2" s="1"/>
  <c r="Z30" i="2" s="1"/>
  <c r="AA30" i="2" s="1"/>
  <c r="AB30" i="2" s="1"/>
  <c r="Q30" i="2"/>
  <c r="E181" i="2"/>
  <c r="T70" i="2"/>
  <c r="T72" i="2" s="1"/>
  <c r="AA80" i="2"/>
  <c r="P178" i="2"/>
  <c r="O93" i="2"/>
  <c r="S108" i="2"/>
  <c r="T111" i="2"/>
  <c r="T179" i="2" s="1"/>
  <c r="V108" i="2"/>
  <c r="T127" i="2"/>
  <c r="T130" i="2" s="1"/>
  <c r="T184" i="2" s="1"/>
  <c r="R140" i="2"/>
  <c r="R142" i="2" s="1"/>
  <c r="R144" i="2" s="1"/>
  <c r="R147" i="2" s="1"/>
  <c r="R185" i="2" s="1"/>
  <c r="O145" i="2"/>
  <c r="D163" i="2"/>
  <c r="E165" i="2"/>
  <c r="E186" i="2" s="1"/>
  <c r="X18" i="2"/>
  <c r="X20" i="2"/>
  <c r="V22" i="2"/>
  <c r="V24" i="2" s="1"/>
  <c r="V27" i="2" s="1"/>
  <c r="V29" i="2" s="1"/>
  <c r="L26" i="2"/>
  <c r="L27" i="2" s="1"/>
  <c r="L29" i="2" s="1"/>
  <c r="L30" i="2" s="1"/>
  <c r="R48" i="2"/>
  <c r="R50" i="2" s="1"/>
  <c r="P53" i="2"/>
  <c r="K51" i="2"/>
  <c r="M51" i="2"/>
  <c r="P64" i="2"/>
  <c r="P65" i="2"/>
  <c r="P68" i="2" s="1"/>
  <c r="P70" i="2" s="1"/>
  <c r="P72" i="2" s="1"/>
  <c r="P75" i="2" s="1"/>
  <c r="P177" i="2" s="1"/>
  <c r="X120" i="2"/>
  <c r="Z120" i="2" s="1"/>
  <c r="AA120" i="2" s="1"/>
  <c r="AB120" i="2" s="1"/>
  <c r="V122" i="2"/>
  <c r="V124" i="2" s="1"/>
  <c r="T145" i="2"/>
  <c r="T147" i="2"/>
  <c r="T185" i="2" s="1"/>
  <c r="L165" i="2"/>
  <c r="L186" i="2" s="1"/>
  <c r="L181" i="2"/>
  <c r="P185" i="2"/>
  <c r="E147" i="2"/>
  <c r="E185" i="2" s="1"/>
  <c r="E189" i="2" s="1"/>
  <c r="M163" i="2"/>
  <c r="O30" i="2"/>
  <c r="X85" i="2"/>
  <c r="X88" i="2" s="1"/>
  <c r="X90" i="2" s="1"/>
  <c r="X92" i="2" s="1"/>
  <c r="X95" i="2" s="1"/>
  <c r="X178" i="2" s="1"/>
  <c r="D108" i="2"/>
  <c r="Q108" i="2"/>
  <c r="R126" i="2"/>
  <c r="T126" i="2" s="1"/>
  <c r="V126" i="2" s="1"/>
  <c r="X126" i="2" s="1"/>
  <c r="Z126" i="2" s="1"/>
  <c r="AA126" i="2" s="1"/>
  <c r="AB126" i="2" s="1"/>
  <c r="Z135" i="2"/>
  <c r="V140" i="2"/>
  <c r="V142" i="2" s="1"/>
  <c r="V144" i="2" s="1"/>
  <c r="O163" i="2"/>
  <c r="X37" i="2"/>
  <c r="V62" i="2"/>
  <c r="V65" i="2" s="1"/>
  <c r="V68" i="2" s="1"/>
  <c r="V70" i="2" s="1"/>
  <c r="V72" i="2" s="1"/>
  <c r="AB59" i="2"/>
  <c r="E68" i="2"/>
  <c r="E70" i="2" s="1"/>
  <c r="E72" i="2" s="1"/>
  <c r="E75" i="2" s="1"/>
  <c r="E177" i="2" s="1"/>
  <c r="F108" i="2"/>
  <c r="X157" i="2"/>
  <c r="X160" i="2" s="1"/>
  <c r="X162" i="2" s="1"/>
  <c r="Q163" i="2"/>
  <c r="N165" i="2"/>
  <c r="N186" i="2" s="1"/>
  <c r="P179" i="2"/>
  <c r="F163" i="2"/>
  <c r="AB128" i="1"/>
  <c r="AB145" i="1"/>
  <c r="AB163" i="1"/>
  <c r="M128" i="2" l="1"/>
  <c r="O128" i="2"/>
  <c r="K30" i="2"/>
  <c r="M30" i="2"/>
  <c r="Z140" i="2"/>
  <c r="Z142" i="2" s="1"/>
  <c r="Z144" i="2" s="1"/>
  <c r="AA135" i="2"/>
  <c r="O51" i="2"/>
  <c r="P176" i="2"/>
  <c r="X22" i="2"/>
  <c r="X24" i="2" s="1"/>
  <c r="X27" i="2" s="1"/>
  <c r="X29" i="2" s="1"/>
  <c r="X32" i="2" s="1"/>
  <c r="X174" i="2" s="1"/>
  <c r="Z20" i="2"/>
  <c r="T189" i="2"/>
  <c r="E191" i="2"/>
  <c r="E193" i="2" s="1"/>
  <c r="AA19" i="2"/>
  <c r="Z42" i="2"/>
  <c r="Z60" i="2"/>
  <c r="N191" i="2"/>
  <c r="S145" i="2"/>
  <c r="V145" i="2"/>
  <c r="X145" i="2" s="1"/>
  <c r="R51" i="2"/>
  <c r="Q51" i="2" s="1"/>
  <c r="R53" i="2"/>
  <c r="R176" i="2" s="1"/>
  <c r="Z18" i="2"/>
  <c r="X41" i="2"/>
  <c r="Z37" i="2" s="1"/>
  <c r="V111" i="2"/>
  <c r="V179" i="2" s="1"/>
  <c r="X108" i="2"/>
  <c r="S163" i="2"/>
  <c r="V163" i="2"/>
  <c r="X127" i="2"/>
  <c r="X130" i="2" s="1"/>
  <c r="X184" i="2" s="1"/>
  <c r="AA57" i="2"/>
  <c r="S51" i="2"/>
  <c r="V51" i="2"/>
  <c r="X51" i="2" s="1"/>
  <c r="Z51" i="2" s="1"/>
  <c r="AA51" i="2" s="1"/>
  <c r="AB51" i="2" s="1"/>
  <c r="R127" i="2"/>
  <c r="R130" i="2" s="1"/>
  <c r="R184" i="2" s="1"/>
  <c r="R189" i="2" s="1"/>
  <c r="L191" i="2"/>
  <c r="L193" i="2" s="1"/>
  <c r="V127" i="2"/>
  <c r="V130" i="2" s="1"/>
  <c r="V184" i="2" s="1"/>
  <c r="AA85" i="2"/>
  <c r="AA88" i="2" s="1"/>
  <c r="AA90" i="2" s="1"/>
  <c r="AA92" i="2" s="1"/>
  <c r="AA95" i="2" s="1"/>
  <c r="AA178" i="2" s="1"/>
  <c r="AB80" i="2"/>
  <c r="AB85" i="2" s="1"/>
  <c r="AB88" i="2" s="1"/>
  <c r="AB90" i="2" s="1"/>
  <c r="AB92" i="2" s="1"/>
  <c r="AB95" i="2" s="1"/>
  <c r="AB178" i="2" s="1"/>
  <c r="T165" i="2"/>
  <c r="T186" i="2" s="1"/>
  <c r="Z122" i="2"/>
  <c r="Z124" i="2" s="1"/>
  <c r="Z127" i="2" s="1"/>
  <c r="Z130" i="2" s="1"/>
  <c r="Z184" i="2" s="1"/>
  <c r="AA117" i="2"/>
  <c r="Z95" i="2"/>
  <c r="Z178" i="2" s="1"/>
  <c r="AA45" i="2"/>
  <c r="V95" i="2"/>
  <c r="V178" i="2" s="1"/>
  <c r="R181" i="2"/>
  <c r="R191" i="2" s="1"/>
  <c r="V32" i="2"/>
  <c r="V174" i="2" s="1"/>
  <c r="T73" i="2"/>
  <c r="AA137" i="2"/>
  <c r="AB119" i="2"/>
  <c r="AB137" i="2" s="1"/>
  <c r="P26" i="2"/>
  <c r="P27" i="2" s="1"/>
  <c r="P29" i="2" s="1"/>
  <c r="P32" i="2" s="1"/>
  <c r="P174" i="2" s="1"/>
  <c r="P181" i="2" s="1"/>
  <c r="P191" i="2" s="1"/>
  <c r="P193" i="2" s="1"/>
  <c r="Z13" i="2"/>
  <c r="AA13" i="2" s="1"/>
  <c r="X46" i="2"/>
  <c r="X48" i="2" s="1"/>
  <c r="X50" i="2" s="1"/>
  <c r="I193" i="2"/>
  <c r="AA163" i="1"/>
  <c r="Z163" i="1"/>
  <c r="X163" i="1"/>
  <c r="V163" i="1"/>
  <c r="AB152" i="1"/>
  <c r="AB135" i="1"/>
  <c r="AB130" i="1"/>
  <c r="AB117" i="1"/>
  <c r="AB108" i="1"/>
  <c r="AB93" i="1"/>
  <c r="Z93" i="1"/>
  <c r="AB65" i="1"/>
  <c r="AB59" i="1"/>
  <c r="AB51" i="1"/>
  <c r="AA51" i="1"/>
  <c r="AB50" i="1"/>
  <c r="AB46" i="1"/>
  <c r="AB29" i="1"/>
  <c r="AB27" i="1"/>
  <c r="AB24" i="1"/>
  <c r="AB22" i="1"/>
  <c r="AB13" i="1"/>
  <c r="X53" i="2" l="1"/>
  <c r="X176" i="2" s="1"/>
  <c r="AA37" i="2"/>
  <c r="Z46" i="2"/>
  <c r="Z48" i="2" s="1"/>
  <c r="Z50" i="2" s="1"/>
  <c r="Z53" i="2" s="1"/>
  <c r="Z176" i="2" s="1"/>
  <c r="AA122" i="2"/>
  <c r="AA124" i="2" s="1"/>
  <c r="AA127" i="2" s="1"/>
  <c r="AA130" i="2" s="1"/>
  <c r="AA184" i="2" s="1"/>
  <c r="AB117" i="2"/>
  <c r="AB122" i="2" s="1"/>
  <c r="AB124" i="2" s="1"/>
  <c r="AB127" i="2" s="1"/>
  <c r="AB130" i="2" s="1"/>
  <c r="AB184" i="2" s="1"/>
  <c r="AB57" i="2"/>
  <c r="X163" i="2"/>
  <c r="V165" i="2"/>
  <c r="V186" i="2" s="1"/>
  <c r="Z145" i="2"/>
  <c r="AA145" i="2" s="1"/>
  <c r="AB145" i="2" s="1"/>
  <c r="X147" i="2"/>
  <c r="X185" i="2" s="1"/>
  <c r="V147" i="2"/>
  <c r="V185" i="2" s="1"/>
  <c r="V189" i="2" s="1"/>
  <c r="AB45" i="2"/>
  <c r="Z61" i="2"/>
  <c r="Z62" i="2" s="1"/>
  <c r="Z65" i="2" s="1"/>
  <c r="Z68" i="2" s="1"/>
  <c r="Z70" i="2" s="1"/>
  <c r="Z72" i="2" s="1"/>
  <c r="Z41" i="2"/>
  <c r="AA18" i="2"/>
  <c r="V73" i="2"/>
  <c r="S73" i="2"/>
  <c r="R193" i="2"/>
  <c r="V53" i="2"/>
  <c r="V176" i="2" s="1"/>
  <c r="X111" i="2"/>
  <c r="X179" i="2" s="1"/>
  <c r="Z108" i="2"/>
  <c r="AA60" i="2"/>
  <c r="AA61" i="2" s="1"/>
  <c r="AA62" i="2" s="1"/>
  <c r="AA65" i="2" s="1"/>
  <c r="AA68" i="2" s="1"/>
  <c r="AA70" i="2" s="1"/>
  <c r="AA72" i="2" s="1"/>
  <c r="AA42" i="2"/>
  <c r="AB19" i="2"/>
  <c r="Z22" i="2"/>
  <c r="Z24" i="2" s="1"/>
  <c r="Z27" i="2" s="1"/>
  <c r="Z29" i="2" s="1"/>
  <c r="Z32" i="2" s="1"/>
  <c r="Z174" i="2" s="1"/>
  <c r="AA20" i="2"/>
  <c r="AA140" i="2"/>
  <c r="AA142" i="2" s="1"/>
  <c r="AA144" i="2" s="1"/>
  <c r="AB135" i="2"/>
  <c r="AB140" i="2" s="1"/>
  <c r="AB142" i="2" s="1"/>
  <c r="AB144" i="2" s="1"/>
  <c r="AB147" i="2" s="1"/>
  <c r="AB185" i="2" s="1"/>
  <c r="T75" i="2"/>
  <c r="T177" i="2" s="1"/>
  <c r="T181" i="2" s="1"/>
  <c r="T191" i="2" s="1"/>
  <c r="T193" i="2" s="1"/>
  <c r="N193" i="2"/>
  <c r="Z147" i="2"/>
  <c r="Z185" i="2" s="1"/>
  <c r="G193" i="2"/>
  <c r="AB160" i="1"/>
  <c r="AB162" i="1" s="1"/>
  <c r="AB157" i="1"/>
  <c r="AB154" i="1"/>
  <c r="AB153" i="1"/>
  <c r="AB140" i="1"/>
  <c r="AB142" i="1" s="1"/>
  <c r="AB144" i="1" s="1"/>
  <c r="AB147" i="1" s="1"/>
  <c r="AB137" i="1"/>
  <c r="AB136" i="1"/>
  <c r="AB126" i="1"/>
  <c r="AB122" i="1"/>
  <c r="AB124" i="1" s="1"/>
  <c r="AB127" i="1" s="1"/>
  <c r="AB184" i="1" s="1"/>
  <c r="AB121" i="1"/>
  <c r="AB120" i="1"/>
  <c r="AB119" i="1"/>
  <c r="AB118" i="1"/>
  <c r="AB111" i="1"/>
  <c r="AB179" i="1" s="1"/>
  <c r="AB101" i="1"/>
  <c r="AB92" i="1"/>
  <c r="AB90" i="1"/>
  <c r="AB88" i="1"/>
  <c r="AB85" i="1"/>
  <c r="AB80" i="1"/>
  <c r="AB73" i="1"/>
  <c r="AB69" i="1"/>
  <c r="AB64" i="1"/>
  <c r="AB60" i="1"/>
  <c r="AB57" i="1"/>
  <c r="AB48" i="1"/>
  <c r="AB53" i="1" s="1"/>
  <c r="AB176" i="1" s="1"/>
  <c r="AB47" i="1"/>
  <c r="AB45" i="1"/>
  <c r="AB42" i="1"/>
  <c r="AB41" i="1"/>
  <c r="AB40" i="1"/>
  <c r="AB39" i="1"/>
  <c r="AB37" i="1"/>
  <c r="AB26" i="1"/>
  <c r="AB21" i="1"/>
  <c r="AB20" i="1"/>
  <c r="AB16" i="1"/>
  <c r="AB15" i="1"/>
  <c r="AA18" i="1"/>
  <c r="AA19" i="1"/>
  <c r="AA13" i="1"/>
  <c r="AB172" i="1"/>
  <c r="AB149" i="1"/>
  <c r="AB132" i="1"/>
  <c r="AB114" i="1"/>
  <c r="AB97" i="1"/>
  <c r="AB77" i="1"/>
  <c r="AB55" i="1"/>
  <c r="AB34" i="1"/>
  <c r="AB7" i="1"/>
  <c r="AB6" i="1"/>
  <c r="AB5" i="1"/>
  <c r="AB139" i="1"/>
  <c r="AB82" i="1"/>
  <c r="AB19" i="1"/>
  <c r="AB18" i="1"/>
  <c r="S163" i="1"/>
  <c r="T163" i="1"/>
  <c r="S108" i="1"/>
  <c r="T108" i="1"/>
  <c r="S93" i="1"/>
  <c r="T93" i="1"/>
  <c r="AB42" i="2" l="1"/>
  <c r="AB46" i="2" s="1"/>
  <c r="AB48" i="2" s="1"/>
  <c r="AB50" i="2" s="1"/>
  <c r="AB53" i="2" s="1"/>
  <c r="AB176" i="2" s="1"/>
  <c r="AB60" i="2"/>
  <c r="AA147" i="2"/>
  <c r="AA185" i="2" s="1"/>
  <c r="X73" i="2"/>
  <c r="V75" i="2"/>
  <c r="V177" i="2" s="1"/>
  <c r="V181" i="2" s="1"/>
  <c r="V191" i="2" s="1"/>
  <c r="V193" i="2" s="1"/>
  <c r="AB61" i="2"/>
  <c r="AB62" i="2" s="1"/>
  <c r="AB65" i="2" s="1"/>
  <c r="AB68" i="2" s="1"/>
  <c r="AB70" i="2" s="1"/>
  <c r="AB72" i="2" s="1"/>
  <c r="AB20" i="2"/>
  <c r="AA22" i="2"/>
  <c r="AA24" i="2" s="1"/>
  <c r="AA27" i="2" s="1"/>
  <c r="AA29" i="2" s="1"/>
  <c r="AA32" i="2" s="1"/>
  <c r="AA174" i="2" s="1"/>
  <c r="AA41" i="2"/>
  <c r="AA46" i="2" s="1"/>
  <c r="AA48" i="2" s="1"/>
  <c r="AA50" i="2" s="1"/>
  <c r="AA53" i="2" s="1"/>
  <c r="AA176" i="2" s="1"/>
  <c r="AB18" i="2"/>
  <c r="AB41" i="2" s="1"/>
  <c r="AB13" i="2"/>
  <c r="Z163" i="2"/>
  <c r="X165" i="2"/>
  <c r="X186" i="2" s="1"/>
  <c r="X189" i="2" s="1"/>
  <c r="AB37" i="2"/>
  <c r="AA108" i="2"/>
  <c r="Z111" i="2"/>
  <c r="Z179" i="2" s="1"/>
  <c r="AB185" i="1"/>
  <c r="AB61" i="1"/>
  <c r="AB62" i="1" s="1"/>
  <c r="AB68" i="1" s="1"/>
  <c r="AB70" i="1" s="1"/>
  <c r="AB72" i="1" s="1"/>
  <c r="AB75" i="1" s="1"/>
  <c r="AB177" i="1" s="1"/>
  <c r="AA163" i="2" l="1"/>
  <c r="Z165" i="2"/>
  <c r="Z186" i="2" s="1"/>
  <c r="Z189" i="2" s="1"/>
  <c r="AB22" i="2"/>
  <c r="AB24" i="2" s="1"/>
  <c r="AB27" i="2" s="1"/>
  <c r="AB29" i="2" s="1"/>
  <c r="AB32" i="2" s="1"/>
  <c r="AB174" i="2" s="1"/>
  <c r="Z73" i="2"/>
  <c r="X75" i="2"/>
  <c r="X177" i="2" s="1"/>
  <c r="X181" i="2" s="1"/>
  <c r="X191" i="2" s="1"/>
  <c r="X193" i="2" s="1"/>
  <c r="AB108" i="2"/>
  <c r="AB111" i="2" s="1"/>
  <c r="AB179" i="2" s="1"/>
  <c r="AA111" i="2"/>
  <c r="AA179" i="2" s="1"/>
  <c r="T73" i="1"/>
  <c r="S73" i="1"/>
  <c r="T69" i="1"/>
  <c r="AA73" i="2" l="1"/>
  <c r="Z75" i="2"/>
  <c r="Z177" i="2" s="1"/>
  <c r="Z181" i="2" s="1"/>
  <c r="Z191" i="2" s="1"/>
  <c r="Z193" i="2" s="1"/>
  <c r="AB163" i="2"/>
  <c r="AB165" i="2" s="1"/>
  <c r="AB186" i="2" s="1"/>
  <c r="AB189" i="2" s="1"/>
  <c r="AA165" i="2"/>
  <c r="AA186" i="2" s="1"/>
  <c r="AA189" i="2" s="1"/>
  <c r="T147" i="1"/>
  <c r="S145" i="1"/>
  <c r="T145" i="1"/>
  <c r="T53" i="1"/>
  <c r="T51" i="1"/>
  <c r="R51" i="1"/>
  <c r="Q51" i="1"/>
  <c r="AB73" i="2" l="1"/>
  <c r="AB75" i="2" s="1"/>
  <c r="AB177" i="2" s="1"/>
  <c r="AB181" i="2" s="1"/>
  <c r="AB191" i="2" s="1"/>
  <c r="AA75" i="2"/>
  <c r="AA177" i="2" s="1"/>
  <c r="AA181" i="2" s="1"/>
  <c r="AA191" i="2" s="1"/>
  <c r="AA193" i="2" s="1"/>
  <c r="AA128" i="1"/>
  <c r="Z128" i="1"/>
  <c r="AA93" i="1"/>
  <c r="AB95" i="1" s="1"/>
  <c r="AB178" i="1" s="1"/>
  <c r="X128" i="1"/>
  <c r="X93" i="1"/>
  <c r="AB165" i="1"/>
  <c r="AB186" i="1" s="1"/>
  <c r="AB189" i="1" s="1"/>
  <c r="V145" i="1"/>
  <c r="X145" i="1" s="1"/>
  <c r="Z145" i="1" s="1"/>
  <c r="AA145" i="1" s="1"/>
  <c r="V128" i="1"/>
  <c r="V108" i="1"/>
  <c r="X108" i="1" s="1"/>
  <c r="Z108" i="1" s="1"/>
  <c r="AA108" i="1" s="1"/>
  <c r="V93" i="1"/>
  <c r="V73" i="1"/>
  <c r="X73" i="1" s="1"/>
  <c r="Z73" i="1" s="1"/>
  <c r="AA73" i="1" s="1"/>
  <c r="V30" i="1"/>
  <c r="X30" i="1" s="1"/>
  <c r="Z30" i="1" s="1"/>
  <c r="AA30" i="1" s="1"/>
  <c r="AB30" i="1" s="1"/>
  <c r="AB32" i="1" s="1"/>
  <c r="AB174" i="1" s="1"/>
  <c r="T165" i="1"/>
  <c r="T128" i="1"/>
  <c r="AB193" i="2" l="1"/>
  <c r="AB181" i="1"/>
  <c r="AB191" i="1"/>
  <c r="Y163" i="1"/>
  <c r="Y145" i="1"/>
  <c r="Y128" i="1"/>
  <c r="Y108" i="1"/>
  <c r="Y93" i="1"/>
  <c r="Y73" i="1"/>
  <c r="Y51" i="1"/>
  <c r="W163" i="1"/>
  <c r="W145" i="1"/>
  <c r="W128" i="1"/>
  <c r="W108" i="1"/>
  <c r="W93" i="1"/>
  <c r="W73" i="1"/>
  <c r="W51" i="1"/>
  <c r="U163" i="1"/>
  <c r="U145" i="1"/>
  <c r="U128" i="1"/>
  <c r="U108" i="1"/>
  <c r="U93" i="1"/>
  <c r="U73" i="1"/>
  <c r="U51" i="1"/>
  <c r="V32" i="1" l="1"/>
  <c r="T121" i="1"/>
  <c r="T120" i="1"/>
  <c r="T21" i="1"/>
  <c r="T20" i="1"/>
  <c r="V57" i="1" l="1"/>
  <c r="T22" i="1" l="1"/>
  <c r="T24" i="1" s="1"/>
  <c r="T122" i="1" l="1"/>
  <c r="V18" i="1" l="1"/>
  <c r="X18" i="1" s="1"/>
  <c r="Z18" i="1" s="1"/>
  <c r="V59" i="1"/>
  <c r="X119" i="1"/>
  <c r="Z119" i="1" s="1"/>
  <c r="AA119" i="1" s="1"/>
  <c r="X19" i="1"/>
  <c r="Z19" i="1" s="1"/>
  <c r="R73" i="1" l="1"/>
  <c r="R46" i="1" l="1"/>
  <c r="V37" i="1" l="1"/>
  <c r="V101" i="1"/>
  <c r="X101" i="1" s="1"/>
  <c r="T64" i="1"/>
  <c r="V64" i="1" s="1"/>
  <c r="T139" i="1"/>
  <c r="T47" i="1"/>
  <c r="V47" i="1" s="1"/>
  <c r="T45" i="1"/>
  <c r="V45" i="1" s="1"/>
  <c r="V21" i="1"/>
  <c r="R21" i="1"/>
  <c r="P21" i="1"/>
  <c r="V20" i="1"/>
  <c r="V7" i="1"/>
  <c r="X7" i="1" s="1"/>
  <c r="Z7" i="1" s="1"/>
  <c r="AA7" i="1" s="1"/>
  <c r="V6" i="1"/>
  <c r="X6" i="1" s="1"/>
  <c r="Z6" i="1" s="1"/>
  <c r="AA6" i="1" s="1"/>
  <c r="V5" i="1"/>
  <c r="X5" i="1" s="1"/>
  <c r="Z5" i="1" s="1"/>
  <c r="AA5" i="1" s="1"/>
  <c r="R163" i="1"/>
  <c r="R157" i="1"/>
  <c r="R160" i="1" s="1"/>
  <c r="R162" i="1" s="1"/>
  <c r="R145" i="1"/>
  <c r="R139" i="1"/>
  <c r="R137" i="1"/>
  <c r="R136" i="1"/>
  <c r="R128" i="1"/>
  <c r="R120" i="1"/>
  <c r="R122" i="1" s="1"/>
  <c r="R124" i="1" s="1"/>
  <c r="R108" i="1"/>
  <c r="R93" i="1"/>
  <c r="R82" i="1"/>
  <c r="R85" i="1" s="1"/>
  <c r="R88" i="1" s="1"/>
  <c r="R90" i="1" s="1"/>
  <c r="R92" i="1" s="1"/>
  <c r="R95" i="1" s="1"/>
  <c r="R69" i="1"/>
  <c r="V69" i="1" s="1"/>
  <c r="R64" i="1"/>
  <c r="R60" i="1"/>
  <c r="R62" i="1" s="1"/>
  <c r="R47" i="1"/>
  <c r="R48" i="1" s="1"/>
  <c r="R50" i="1" s="1"/>
  <c r="R30" i="1"/>
  <c r="R20" i="1"/>
  <c r="V13" i="1"/>
  <c r="X13" i="1" s="1"/>
  <c r="R165" i="1" l="1"/>
  <c r="R186" i="1" s="1"/>
  <c r="R22" i="1"/>
  <c r="R24" i="1" s="1"/>
  <c r="R26" i="1" s="1"/>
  <c r="T26" i="1" s="1"/>
  <c r="V22" i="1"/>
  <c r="R140" i="1"/>
  <c r="R142" i="1" s="1"/>
  <c r="R144" i="1" s="1"/>
  <c r="R147" i="1" s="1"/>
  <c r="R185" i="1" s="1"/>
  <c r="R65" i="1"/>
  <c r="R68" i="1" s="1"/>
  <c r="R179" i="1"/>
  <c r="R178" i="1"/>
  <c r="R126" i="1"/>
  <c r="T126" i="1" s="1"/>
  <c r="R53" i="1" l="1"/>
  <c r="V26" i="1"/>
  <c r="T27" i="1"/>
  <c r="T29" i="1" s="1"/>
  <c r="R27" i="1"/>
  <c r="R29" i="1" s="1"/>
  <c r="R32" i="1" s="1"/>
  <c r="R174" i="1" s="1"/>
  <c r="R127" i="1"/>
  <c r="R130" i="1" s="1"/>
  <c r="R184" i="1" s="1"/>
  <c r="R189" i="1" s="1"/>
  <c r="R70" i="1"/>
  <c r="R72" i="1" s="1"/>
  <c r="R75" i="1" s="1"/>
  <c r="R177" i="1" s="1"/>
  <c r="T111" i="1"/>
  <c r="P62" i="1"/>
  <c r="P64" i="1" s="1"/>
  <c r="V24" i="1" l="1"/>
  <c r="V27" i="1" s="1"/>
  <c r="N121" i="1" l="1"/>
  <c r="N21" i="1" l="1"/>
  <c r="C22" i="1"/>
  <c r="P128" i="1" l="1"/>
  <c r="Q128" i="1" s="1"/>
  <c r="P30" i="1"/>
  <c r="Q30" i="1" l="1"/>
  <c r="N184" i="1"/>
  <c r="L184" i="1"/>
  <c r="I184" i="1"/>
  <c r="C184" i="1"/>
  <c r="L174" i="1"/>
  <c r="I174" i="1"/>
  <c r="P163" i="1"/>
  <c r="N163" i="1"/>
  <c r="L163" i="1"/>
  <c r="I163" i="1"/>
  <c r="G163" i="1"/>
  <c r="E163" i="1"/>
  <c r="C163" i="1"/>
  <c r="P157" i="1"/>
  <c r="P160" i="1" s="1"/>
  <c r="P162" i="1" s="1"/>
  <c r="N157" i="1"/>
  <c r="N160" i="1" s="1"/>
  <c r="N162" i="1" s="1"/>
  <c r="L157" i="1"/>
  <c r="L160" i="1" s="1"/>
  <c r="L162" i="1" s="1"/>
  <c r="I157" i="1"/>
  <c r="I160" i="1" s="1"/>
  <c r="I162" i="1" s="1"/>
  <c r="G157" i="1"/>
  <c r="G160" i="1" s="1"/>
  <c r="G162" i="1" s="1"/>
  <c r="E157" i="1"/>
  <c r="E160" i="1" s="1"/>
  <c r="E162" i="1" s="1"/>
  <c r="C157" i="1"/>
  <c r="C160" i="1" s="1"/>
  <c r="C162" i="1" s="1"/>
  <c r="T157" i="1"/>
  <c r="T160" i="1" s="1"/>
  <c r="T162" i="1" s="1"/>
  <c r="P145" i="1"/>
  <c r="Q145" i="1" s="1"/>
  <c r="N145" i="1"/>
  <c r="L145" i="1"/>
  <c r="I145" i="1"/>
  <c r="G145" i="1"/>
  <c r="E145" i="1"/>
  <c r="C145" i="1"/>
  <c r="G143" i="1"/>
  <c r="L140" i="1"/>
  <c r="L142" i="1" s="1"/>
  <c r="L144" i="1" s="1"/>
  <c r="L147" i="1" s="1"/>
  <c r="L185" i="1" s="1"/>
  <c r="E140" i="1"/>
  <c r="E142" i="1" s="1"/>
  <c r="E144" i="1" s="1"/>
  <c r="E147" i="1" s="1"/>
  <c r="E185" i="1" s="1"/>
  <c r="C140" i="1"/>
  <c r="C142" i="1" s="1"/>
  <c r="C144" i="1" s="1"/>
  <c r="V139" i="1"/>
  <c r="X139" i="1" s="1"/>
  <c r="Z139" i="1" s="1"/>
  <c r="AA139" i="1" s="1"/>
  <c r="P139" i="1"/>
  <c r="P140" i="1" s="1"/>
  <c r="P142" i="1" s="1"/>
  <c r="P144" i="1" s="1"/>
  <c r="P147" i="1" s="1"/>
  <c r="N139" i="1"/>
  <c r="N140" i="1" s="1"/>
  <c r="N142" i="1" s="1"/>
  <c r="N144" i="1" s="1"/>
  <c r="I139" i="1"/>
  <c r="I140" i="1" s="1"/>
  <c r="I142" i="1" s="1"/>
  <c r="I144" i="1" s="1"/>
  <c r="G139" i="1"/>
  <c r="G140" i="1" s="1"/>
  <c r="G142" i="1" s="1"/>
  <c r="AA137" i="1"/>
  <c r="Z137" i="1"/>
  <c r="X137" i="1"/>
  <c r="V137" i="1"/>
  <c r="T137" i="1"/>
  <c r="AA136" i="1"/>
  <c r="Z136" i="1"/>
  <c r="X136" i="1"/>
  <c r="V136" i="1"/>
  <c r="T136" i="1"/>
  <c r="E130" i="1"/>
  <c r="E184" i="1" s="1"/>
  <c r="F128" i="1"/>
  <c r="D128" i="1"/>
  <c r="I126" i="1"/>
  <c r="G126" i="1"/>
  <c r="C126" i="1"/>
  <c r="I122" i="1"/>
  <c r="I124" i="1" s="1"/>
  <c r="E122" i="1"/>
  <c r="E124" i="1" s="1"/>
  <c r="E126" i="1" s="1"/>
  <c r="C122" i="1"/>
  <c r="C124" i="1" s="1"/>
  <c r="V121" i="1"/>
  <c r="X121" i="1" s="1"/>
  <c r="Z121" i="1" s="1"/>
  <c r="AA121" i="1" s="1"/>
  <c r="L121" i="1"/>
  <c r="G121" i="1"/>
  <c r="P120" i="1"/>
  <c r="N120" i="1"/>
  <c r="L120" i="1"/>
  <c r="L122" i="1" s="1"/>
  <c r="L124" i="1" s="1"/>
  <c r="L126" i="1" s="1"/>
  <c r="G120" i="1"/>
  <c r="G122" i="1" s="1"/>
  <c r="G124" i="1" s="1"/>
  <c r="P117" i="1"/>
  <c r="N111" i="1"/>
  <c r="N179" i="1" s="1"/>
  <c r="G111" i="1"/>
  <c r="G179" i="1" s="1"/>
  <c r="P108" i="1"/>
  <c r="Q108" i="1" s="1"/>
  <c r="L108" i="1"/>
  <c r="I108" i="1"/>
  <c r="E108" i="1"/>
  <c r="F108" i="1" s="1"/>
  <c r="C108" i="1"/>
  <c r="C111" i="1" s="1"/>
  <c r="C179" i="1" s="1"/>
  <c r="Z101" i="1"/>
  <c r="AA101" i="1" s="1"/>
  <c r="AA111" i="1" s="1"/>
  <c r="P93" i="1"/>
  <c r="Q93" i="1" s="1"/>
  <c r="M93" i="1"/>
  <c r="I93" i="1"/>
  <c r="K93" i="1" s="1"/>
  <c r="F93" i="1"/>
  <c r="D93" i="1"/>
  <c r="L90" i="1"/>
  <c r="L92" i="1" s="1"/>
  <c r="L95" i="1" s="1"/>
  <c r="L178" i="1" s="1"/>
  <c r="N85" i="1"/>
  <c r="N88" i="1" s="1"/>
  <c r="N90" i="1" s="1"/>
  <c r="N92" i="1" s="1"/>
  <c r="N95" i="1" s="1"/>
  <c r="L85" i="1"/>
  <c r="AA82" i="1"/>
  <c r="Z82" i="1"/>
  <c r="X82" i="1"/>
  <c r="V82" i="1"/>
  <c r="T82" i="1"/>
  <c r="P82" i="1"/>
  <c r="P85" i="1" s="1"/>
  <c r="P88" i="1" s="1"/>
  <c r="P90" i="1" s="1"/>
  <c r="P92" i="1" s="1"/>
  <c r="I82" i="1"/>
  <c r="G82" i="1"/>
  <c r="E82" i="1"/>
  <c r="C82" i="1"/>
  <c r="G81" i="1"/>
  <c r="E81" i="1"/>
  <c r="C81" i="1"/>
  <c r="V80" i="1"/>
  <c r="P73" i="1"/>
  <c r="N73" i="1"/>
  <c r="L73" i="1"/>
  <c r="I73" i="1"/>
  <c r="H73" i="1" s="1"/>
  <c r="F73" i="1"/>
  <c r="D73" i="1"/>
  <c r="P69" i="1"/>
  <c r="X69" i="1" s="1"/>
  <c r="Z69" i="1" s="1"/>
  <c r="AA69" i="1" s="1"/>
  <c r="N69" i="1"/>
  <c r="L69" i="1"/>
  <c r="I69" i="1"/>
  <c r="G69" i="1"/>
  <c r="C69" i="1"/>
  <c r="L66" i="1"/>
  <c r="I66" i="1"/>
  <c r="G66" i="1"/>
  <c r="E66" i="1"/>
  <c r="C66" i="1"/>
  <c r="X64" i="1"/>
  <c r="Z64" i="1" s="1"/>
  <c r="AA64" i="1" s="1"/>
  <c r="N64" i="1"/>
  <c r="I64" i="1"/>
  <c r="G64" i="1"/>
  <c r="P65" i="1"/>
  <c r="P68" i="1" s="1"/>
  <c r="N62" i="1"/>
  <c r="N65" i="1" s="1"/>
  <c r="N68" i="1" s="1"/>
  <c r="L62" i="1"/>
  <c r="L65" i="1" s="1"/>
  <c r="I62" i="1"/>
  <c r="G62" i="1"/>
  <c r="E62" i="1"/>
  <c r="E65" i="1" s="1"/>
  <c r="C62" i="1"/>
  <c r="C65" i="1" s="1"/>
  <c r="AA60" i="1"/>
  <c r="Z60" i="1"/>
  <c r="X60" i="1"/>
  <c r="V60" i="1"/>
  <c r="T60" i="1"/>
  <c r="T62" i="1" s="1"/>
  <c r="T65" i="1" s="1"/>
  <c r="T68" i="1" s="1"/>
  <c r="T70" i="1" s="1"/>
  <c r="T72" i="1" s="1"/>
  <c r="T75" i="1" s="1"/>
  <c r="AA59" i="1"/>
  <c r="Z59" i="1"/>
  <c r="X59" i="1"/>
  <c r="P51" i="1"/>
  <c r="N51" i="1"/>
  <c r="L51" i="1"/>
  <c r="I51" i="1"/>
  <c r="H51" i="1" s="1"/>
  <c r="E51" i="1"/>
  <c r="C51" i="1"/>
  <c r="P47" i="1"/>
  <c r="X47" i="1" s="1"/>
  <c r="Z47" i="1" s="1"/>
  <c r="AA47" i="1" s="1"/>
  <c r="N47" i="1"/>
  <c r="L47" i="1"/>
  <c r="I47" i="1"/>
  <c r="G47" i="1"/>
  <c r="E47" i="1"/>
  <c r="C47" i="1"/>
  <c r="G46" i="1"/>
  <c r="E46" i="1"/>
  <c r="C46" i="1"/>
  <c r="P45" i="1"/>
  <c r="P46" i="1" s="1"/>
  <c r="N45" i="1"/>
  <c r="N46" i="1" s="1"/>
  <c r="L45" i="1"/>
  <c r="L46" i="1" s="1"/>
  <c r="I45" i="1"/>
  <c r="I46" i="1" s="1"/>
  <c r="AA42" i="1"/>
  <c r="Z42" i="1"/>
  <c r="X42" i="1"/>
  <c r="V42" i="1"/>
  <c r="AA41" i="1"/>
  <c r="Z41" i="1"/>
  <c r="X41" i="1"/>
  <c r="V41" i="1"/>
  <c r="AA40" i="1"/>
  <c r="Z40" i="1"/>
  <c r="X40" i="1"/>
  <c r="V40" i="1"/>
  <c r="AA39" i="1"/>
  <c r="Z39" i="1"/>
  <c r="X39" i="1"/>
  <c r="V39" i="1"/>
  <c r="N30" i="1"/>
  <c r="O30" i="1" s="1"/>
  <c r="E29" i="1"/>
  <c r="E32" i="1" s="1"/>
  <c r="E174" i="1" s="1"/>
  <c r="I26" i="1"/>
  <c r="G26" i="1"/>
  <c r="C26" i="1"/>
  <c r="I22" i="1"/>
  <c r="I24" i="1" s="1"/>
  <c r="G22" i="1"/>
  <c r="G24" i="1" s="1"/>
  <c r="E22" i="1"/>
  <c r="E24" i="1" s="1"/>
  <c r="E26" i="1" s="1"/>
  <c r="C24" i="1"/>
  <c r="X21" i="1"/>
  <c r="Z21" i="1" s="1"/>
  <c r="AA21" i="1" s="1"/>
  <c r="L21" i="1"/>
  <c r="P20" i="1"/>
  <c r="P22" i="1" s="1"/>
  <c r="P24" i="1" s="1"/>
  <c r="P26" i="1" s="1"/>
  <c r="N20" i="1"/>
  <c r="N22" i="1" s="1"/>
  <c r="N24" i="1" s="1"/>
  <c r="L20" i="1"/>
  <c r="X57" i="1" l="1"/>
  <c r="Z57" i="1" s="1"/>
  <c r="AA57" i="1" s="1"/>
  <c r="V61" i="1"/>
  <c r="V62" i="1" s="1"/>
  <c r="M51" i="1"/>
  <c r="E48" i="1"/>
  <c r="E50" i="1" s="1"/>
  <c r="E53" i="1" s="1"/>
  <c r="E176" i="1" s="1"/>
  <c r="E68" i="1"/>
  <c r="E70" i="1" s="1"/>
  <c r="E72" i="1" s="1"/>
  <c r="E75" i="1" s="1"/>
  <c r="E177" i="1" s="1"/>
  <c r="N70" i="1"/>
  <c r="N72" i="1" s="1"/>
  <c r="N75" i="1" s="1"/>
  <c r="N177" i="1" s="1"/>
  <c r="P95" i="1"/>
  <c r="O93" i="1" s="1"/>
  <c r="I165" i="1"/>
  <c r="I186" i="1" s="1"/>
  <c r="G48" i="1"/>
  <c r="G50" i="1" s="1"/>
  <c r="G53" i="1" s="1"/>
  <c r="G176" i="1" s="1"/>
  <c r="P70" i="1"/>
  <c r="P72" i="1" s="1"/>
  <c r="I147" i="1"/>
  <c r="I185" i="1" s="1"/>
  <c r="F163" i="1"/>
  <c r="M145" i="1"/>
  <c r="E165" i="1"/>
  <c r="E186" i="1" s="1"/>
  <c r="E189" i="1" s="1"/>
  <c r="N165" i="1"/>
  <c r="N186" i="1" s="1"/>
  <c r="P48" i="1"/>
  <c r="P50" i="1" s="1"/>
  <c r="P53" i="1" s="1"/>
  <c r="G165" i="1"/>
  <c r="G186" i="1" s="1"/>
  <c r="P165" i="1"/>
  <c r="P186" i="1" s="1"/>
  <c r="I65" i="1"/>
  <c r="I68" i="1" s="1"/>
  <c r="I70" i="1" s="1"/>
  <c r="I72" i="1" s="1"/>
  <c r="I75" i="1" s="1"/>
  <c r="I177" i="1" s="1"/>
  <c r="C127" i="1"/>
  <c r="C147" i="1"/>
  <c r="C185" i="1" s="1"/>
  <c r="D163" i="1"/>
  <c r="Q73" i="1"/>
  <c r="O73" i="1"/>
  <c r="V117" i="1"/>
  <c r="P121" i="1"/>
  <c r="P122" i="1" s="1"/>
  <c r="P124" i="1" s="1"/>
  <c r="P126" i="1" s="1"/>
  <c r="I48" i="1"/>
  <c r="I50" i="1" s="1"/>
  <c r="I53" i="1" s="1"/>
  <c r="I176" i="1" s="1"/>
  <c r="C68" i="1"/>
  <c r="C70" i="1" s="1"/>
  <c r="C72" i="1" s="1"/>
  <c r="C75" i="1" s="1"/>
  <c r="C177" i="1" s="1"/>
  <c r="I127" i="1"/>
  <c r="I128" i="1" s="1"/>
  <c r="H128" i="1" s="1"/>
  <c r="P75" i="1"/>
  <c r="P177" i="1" s="1"/>
  <c r="D108" i="1"/>
  <c r="F145" i="1"/>
  <c r="G27" i="1"/>
  <c r="G29" i="1" s="1"/>
  <c r="G32" i="1" s="1"/>
  <c r="G174" i="1" s="1"/>
  <c r="L22" i="1"/>
  <c r="L24" i="1" s="1"/>
  <c r="L26" i="1" s="1"/>
  <c r="L27" i="1" s="1"/>
  <c r="L29" i="1" s="1"/>
  <c r="L30" i="1" s="1"/>
  <c r="N48" i="1"/>
  <c r="N50" i="1" s="1"/>
  <c r="N53" i="1" s="1"/>
  <c r="N176" i="1" s="1"/>
  <c r="G144" i="1"/>
  <c r="G147" i="1" s="1"/>
  <c r="G185" i="1" s="1"/>
  <c r="C165" i="1"/>
  <c r="C186" i="1" s="1"/>
  <c r="L165" i="1"/>
  <c r="L186" i="1" s="1"/>
  <c r="L189" i="1" s="1"/>
  <c r="H163" i="1"/>
  <c r="Q163" i="1"/>
  <c r="O163" i="1"/>
  <c r="X37" i="1"/>
  <c r="Z37" i="1" s="1"/>
  <c r="AA37" i="1" s="1"/>
  <c r="V46" i="1"/>
  <c r="V48" i="1" s="1"/>
  <c r="V50" i="1" s="1"/>
  <c r="N178" i="1"/>
  <c r="N26" i="1"/>
  <c r="V135" i="1"/>
  <c r="V140" i="1" s="1"/>
  <c r="V142" i="1" s="1"/>
  <c r="V144" i="1" s="1"/>
  <c r="V147" i="1" s="1"/>
  <c r="G85" i="1"/>
  <c r="G88" i="1" s="1"/>
  <c r="G90" i="1" s="1"/>
  <c r="G92" i="1" s="1"/>
  <c r="G95" i="1" s="1"/>
  <c r="G178" i="1" s="1"/>
  <c r="L68" i="1"/>
  <c r="L70" i="1" s="1"/>
  <c r="L72" i="1" s="1"/>
  <c r="L75" i="1" s="1"/>
  <c r="L177" i="1" s="1"/>
  <c r="L127" i="1"/>
  <c r="L128" i="1" s="1"/>
  <c r="I27" i="1"/>
  <c r="I29" i="1" s="1"/>
  <c r="I30" i="1" s="1"/>
  <c r="H30" i="1" s="1"/>
  <c r="K51" i="1"/>
  <c r="N122" i="1"/>
  <c r="N124" i="1" s="1"/>
  <c r="N126" i="1" s="1"/>
  <c r="H145" i="1"/>
  <c r="Z13" i="1"/>
  <c r="L48" i="1"/>
  <c r="L50" i="1" s="1"/>
  <c r="L53" i="1" s="1"/>
  <c r="L176" i="1" s="1"/>
  <c r="M73" i="1"/>
  <c r="E111" i="1"/>
  <c r="E179" i="1" s="1"/>
  <c r="N147" i="1"/>
  <c r="O145" i="1" s="1"/>
  <c r="D145" i="1"/>
  <c r="C27" i="1"/>
  <c r="C29" i="1" s="1"/>
  <c r="C32" i="1" s="1"/>
  <c r="C174" i="1" s="1"/>
  <c r="C48" i="1"/>
  <c r="C50" i="1" s="1"/>
  <c r="C53" i="1" s="1"/>
  <c r="C176" i="1" s="1"/>
  <c r="G65" i="1"/>
  <c r="G68" i="1" s="1"/>
  <c r="G70" i="1" s="1"/>
  <c r="G72" i="1" s="1"/>
  <c r="G75" i="1" s="1"/>
  <c r="G177" i="1" s="1"/>
  <c r="C85" i="1"/>
  <c r="C88" i="1" s="1"/>
  <c r="C90" i="1" s="1"/>
  <c r="C92" i="1" s="1"/>
  <c r="C95" i="1" s="1"/>
  <c r="C178" i="1" s="1"/>
  <c r="H93" i="1"/>
  <c r="G127" i="1"/>
  <c r="G130" i="1" s="1"/>
  <c r="G184" i="1" s="1"/>
  <c r="V152" i="1"/>
  <c r="V157" i="1" s="1"/>
  <c r="M163" i="1"/>
  <c r="V85" i="1"/>
  <c r="V88" i="1" s="1"/>
  <c r="V90" i="1" s="1"/>
  <c r="V92" i="1" s="1"/>
  <c r="V95" i="1" s="1"/>
  <c r="V178" i="1" s="1"/>
  <c r="X80" i="1"/>
  <c r="H108" i="1"/>
  <c r="I111" i="1"/>
  <c r="I179" i="1" s="1"/>
  <c r="K108" i="1"/>
  <c r="E85" i="1"/>
  <c r="E88" i="1" s="1"/>
  <c r="E90" i="1" s="1"/>
  <c r="E92" i="1" s="1"/>
  <c r="E95" i="1" s="1"/>
  <c r="E178" i="1" s="1"/>
  <c r="P111" i="1"/>
  <c r="T177" i="1"/>
  <c r="T85" i="1"/>
  <c r="T88" i="1" s="1"/>
  <c r="T90" i="1" s="1"/>
  <c r="T92" i="1" s="1"/>
  <c r="T95" i="1" s="1"/>
  <c r="P185" i="1"/>
  <c r="D51" i="1"/>
  <c r="T140" i="1"/>
  <c r="F51" i="1"/>
  <c r="K73" i="1"/>
  <c r="I81" i="1"/>
  <c r="I85" i="1" s="1"/>
  <c r="I88" i="1" s="1"/>
  <c r="I90" i="1" s="1"/>
  <c r="I92" i="1" s="1"/>
  <c r="I95" i="1" s="1"/>
  <c r="I178" i="1" s="1"/>
  <c r="L111" i="1"/>
  <c r="L179" i="1" s="1"/>
  <c r="M108" i="1"/>
  <c r="K163" i="1"/>
  <c r="K145" i="1"/>
  <c r="X117" i="1" l="1"/>
  <c r="I189" i="1"/>
  <c r="P178" i="1"/>
  <c r="E181" i="1"/>
  <c r="E191" i="1" s="1"/>
  <c r="O51" i="1"/>
  <c r="P176" i="1"/>
  <c r="G189" i="1"/>
  <c r="C189" i="1"/>
  <c r="X152" i="1"/>
  <c r="X157" i="1" s="1"/>
  <c r="X160" i="1" s="1"/>
  <c r="X162" i="1" s="1"/>
  <c r="V160" i="1"/>
  <c r="V162" i="1" s="1"/>
  <c r="K128" i="1"/>
  <c r="X135" i="1"/>
  <c r="Z135" i="1" s="1"/>
  <c r="AA135" i="1" s="1"/>
  <c r="AA140" i="1" s="1"/>
  <c r="T178" i="1"/>
  <c r="N185" i="1"/>
  <c r="N189" i="1" s="1"/>
  <c r="L181" i="1"/>
  <c r="L191" i="1" s="1"/>
  <c r="V185" i="1"/>
  <c r="C181" i="1"/>
  <c r="T142" i="1"/>
  <c r="T144" i="1" s="1"/>
  <c r="T46" i="1"/>
  <c r="T48" i="1" s="1"/>
  <c r="T50" i="1" s="1"/>
  <c r="G181" i="1"/>
  <c r="N27" i="1"/>
  <c r="N29" i="1" s="1"/>
  <c r="N32" i="1" s="1"/>
  <c r="N174" i="1" s="1"/>
  <c r="N181" i="1" s="1"/>
  <c r="P127" i="1"/>
  <c r="P130" i="1" s="1"/>
  <c r="I181" i="1"/>
  <c r="M30" i="1"/>
  <c r="K30" i="1"/>
  <c r="V120" i="1"/>
  <c r="V122" i="1" s="1"/>
  <c r="T124" i="1"/>
  <c r="T127" i="1" s="1"/>
  <c r="T130" i="1" s="1"/>
  <c r="N127" i="1"/>
  <c r="N128" i="1" s="1"/>
  <c r="Z80" i="1"/>
  <c r="X85" i="1"/>
  <c r="X88" i="1" s="1"/>
  <c r="X90" i="1" s="1"/>
  <c r="X92" i="1" s="1"/>
  <c r="X95" i="1" s="1"/>
  <c r="X178" i="1" s="1"/>
  <c r="X45" i="1"/>
  <c r="O108" i="1"/>
  <c r="P179" i="1"/>
  <c r="P27" i="1"/>
  <c r="P29" i="1" s="1"/>
  <c r="I191" i="1" l="1"/>
  <c r="L193" i="1" s="1"/>
  <c r="Z117" i="1"/>
  <c r="AA117" i="1" s="1"/>
  <c r="N191" i="1"/>
  <c r="N193" i="1" s="1"/>
  <c r="G191" i="1"/>
  <c r="G193" i="1" s="1"/>
  <c r="C191" i="1"/>
  <c r="C193" i="1" s="1"/>
  <c r="Z152" i="1"/>
  <c r="AA152" i="1" s="1"/>
  <c r="AA157" i="1" s="1"/>
  <c r="AA160" i="1" s="1"/>
  <c r="AA162" i="1" s="1"/>
  <c r="AA165" i="1" s="1"/>
  <c r="X61" i="1"/>
  <c r="X62" i="1" s="1"/>
  <c r="V65" i="1"/>
  <c r="V68" i="1" s="1"/>
  <c r="V70" i="1" s="1"/>
  <c r="V72" i="1" s="1"/>
  <c r="X140" i="1"/>
  <c r="X142" i="1" s="1"/>
  <c r="X144" i="1" s="1"/>
  <c r="O128" i="1"/>
  <c r="T179" i="1"/>
  <c r="V126" i="1"/>
  <c r="X126" i="1" s="1"/>
  <c r="Z126" i="1" s="1"/>
  <c r="AA126" i="1" s="1"/>
  <c r="T185" i="1"/>
  <c r="X26" i="1"/>
  <c r="Z26" i="1" s="1"/>
  <c r="AA26" i="1" s="1"/>
  <c r="X20" i="1"/>
  <c r="X22" i="1" s="1"/>
  <c r="X24" i="1" s="1"/>
  <c r="Z45" i="1"/>
  <c r="X46" i="1"/>
  <c r="X48" i="1" s="1"/>
  <c r="X50" i="1" s="1"/>
  <c r="AA80" i="1"/>
  <c r="AA85" i="1" s="1"/>
  <c r="AA88" i="1" s="1"/>
  <c r="AA90" i="1" s="1"/>
  <c r="AA92" i="1" s="1"/>
  <c r="AA95" i="1" s="1"/>
  <c r="AA178" i="1" s="1"/>
  <c r="Z85" i="1"/>
  <c r="Z88" i="1" s="1"/>
  <c r="Z90" i="1" s="1"/>
  <c r="Z92" i="1" s="1"/>
  <c r="Z95" i="1" s="1"/>
  <c r="Z178" i="1" s="1"/>
  <c r="X120" i="1"/>
  <c r="X122" i="1" s="1"/>
  <c r="V124" i="1"/>
  <c r="M128" i="1"/>
  <c r="Z140" i="1"/>
  <c r="Z142" i="1" s="1"/>
  <c r="Z144" i="1" s="1"/>
  <c r="AA142" i="1"/>
  <c r="AA144" i="1" s="1"/>
  <c r="V111" i="1"/>
  <c r="V179" i="1" s="1"/>
  <c r="V75" i="1" l="1"/>
  <c r="V177" i="1" s="1"/>
  <c r="E193" i="1"/>
  <c r="I193" i="1"/>
  <c r="Z157" i="1"/>
  <c r="Z160" i="1" s="1"/>
  <c r="Z162" i="1" s="1"/>
  <c r="V127" i="1"/>
  <c r="X147" i="1"/>
  <c r="X185" i="1" s="1"/>
  <c r="AA147" i="1"/>
  <c r="AA185" i="1" s="1"/>
  <c r="Z147" i="1"/>
  <c r="Z185" i="1" s="1"/>
  <c r="Z61" i="1"/>
  <c r="X65" i="1"/>
  <c r="X68" i="1" s="1"/>
  <c r="X70" i="1" s="1"/>
  <c r="X72" i="1" s="1"/>
  <c r="X75" i="1" s="1"/>
  <c r="X177" i="1" s="1"/>
  <c r="Z20" i="1"/>
  <c r="Z22" i="1" s="1"/>
  <c r="Z24" i="1" s="1"/>
  <c r="Z27" i="1" s="1"/>
  <c r="Z29" i="1" s="1"/>
  <c r="T186" i="1"/>
  <c r="X27" i="1"/>
  <c r="X29" i="1" s="1"/>
  <c r="V29" i="1"/>
  <c r="X111" i="1"/>
  <c r="X179" i="1" s="1"/>
  <c r="Z46" i="1"/>
  <c r="Z48" i="1" s="1"/>
  <c r="Z50" i="1" s="1"/>
  <c r="AA45" i="1"/>
  <c r="AA46" i="1" s="1"/>
  <c r="AA48" i="1" s="1"/>
  <c r="AA50" i="1" s="1"/>
  <c r="P184" i="1"/>
  <c r="P189" i="1" s="1"/>
  <c r="Z120" i="1"/>
  <c r="AA120" i="1" s="1"/>
  <c r="AA122" i="1" s="1"/>
  <c r="X124" i="1"/>
  <c r="X127" i="1" s="1"/>
  <c r="Z62" i="1" l="1"/>
  <c r="Z65" i="1" s="1"/>
  <c r="Z68" i="1" s="1"/>
  <c r="Z70" i="1" s="1"/>
  <c r="Z72" i="1" s="1"/>
  <c r="Z75" i="1" s="1"/>
  <c r="Z177" i="1" s="1"/>
  <c r="AA20" i="1"/>
  <c r="AA22" i="1" s="1"/>
  <c r="AA24" i="1" s="1"/>
  <c r="AA27" i="1" s="1"/>
  <c r="AA29" i="1" s="1"/>
  <c r="V165" i="1"/>
  <c r="V186" i="1" s="1"/>
  <c r="T184" i="1"/>
  <c r="AA124" i="1"/>
  <c r="AA127" i="1" s="1"/>
  <c r="Z122" i="1"/>
  <c r="Z124" i="1" s="1"/>
  <c r="Z127" i="1" s="1"/>
  <c r="Z111" i="1"/>
  <c r="Z179" i="1" s="1"/>
  <c r="AA179" i="1"/>
  <c r="T189" i="1" l="1"/>
  <c r="Z130" i="1"/>
  <c r="AA130" i="1"/>
  <c r="X130" i="1"/>
  <c r="AA61" i="1"/>
  <c r="X165" i="1"/>
  <c r="X186" i="1" s="1"/>
  <c r="V130" i="1"/>
  <c r="V184" i="1" s="1"/>
  <c r="V189" i="1" s="1"/>
  <c r="AA62" i="1" l="1"/>
  <c r="AA65" i="1" s="1"/>
  <c r="AA68" i="1" s="1"/>
  <c r="AA70" i="1" s="1"/>
  <c r="AA72" i="1" s="1"/>
  <c r="AA75" i="1" s="1"/>
  <c r="AA177" i="1" s="1"/>
  <c r="AA186" i="1"/>
  <c r="Z165" i="1"/>
  <c r="Z186" i="1" s="1"/>
  <c r="X184" i="1"/>
  <c r="X189" i="1" s="1"/>
  <c r="AA184" i="1" l="1"/>
  <c r="AA189" i="1" s="1"/>
  <c r="Z184" i="1"/>
  <c r="Z189" i="1" s="1"/>
  <c r="P32" i="1" l="1"/>
  <c r="P174" i="1" s="1"/>
  <c r="P181" i="1" s="1"/>
  <c r="P191" i="1" s="1"/>
  <c r="P193" i="1" s="1"/>
  <c r="T174" i="1"/>
  <c r="T181" i="1" s="1"/>
  <c r="V174" i="1" l="1"/>
  <c r="Z32" i="1"/>
  <c r="Z174" i="1" s="1"/>
  <c r="AA32" i="1"/>
  <c r="AA174" i="1" s="1"/>
  <c r="X32" i="1"/>
  <c r="X174" i="1" s="1"/>
  <c r="R176" i="1" l="1"/>
  <c r="R181" i="1" s="1"/>
  <c r="R191" i="1" s="1"/>
  <c r="R193" i="1" l="1"/>
  <c r="T176" i="1"/>
  <c r="V51" i="1"/>
  <c r="V53" i="1" s="1"/>
  <c r="V176" i="1" s="1"/>
  <c r="V181" i="1" s="1"/>
  <c r="V191" i="1" s="1"/>
  <c r="X51" i="1"/>
  <c r="X53" i="1" s="1"/>
  <c r="X176" i="1" s="1"/>
  <c r="X181" i="1" s="1"/>
  <c r="X191" i="1" s="1"/>
  <c r="Z51" i="1"/>
  <c r="AA53" i="1" s="1"/>
  <c r="AA176" i="1" s="1"/>
  <c r="AA181" i="1" s="1"/>
  <c r="AA191" i="1" s="1"/>
  <c r="AB193" i="1" s="1"/>
  <c r="S51" i="1"/>
  <c r="T191" i="1" l="1"/>
  <c r="T193" i="1" s="1"/>
  <c r="X193" i="1"/>
  <c r="Z53" i="1"/>
  <c r="Z176" i="1" s="1"/>
  <c r="Z181" i="1" s="1"/>
  <c r="Z191" i="1" s="1"/>
  <c r="AA193" i="1" s="1"/>
  <c r="V193" i="1" l="1"/>
  <c r="Z193" i="1"/>
</calcChain>
</file>

<file path=xl/comments1.xml><?xml version="1.0" encoding="utf-8"?>
<comments xmlns="http://schemas.openxmlformats.org/spreadsheetml/2006/main">
  <authors>
    <author>Author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sure why this line is here.  Left over fromYvonne.</t>
        </r>
      </text>
    </comment>
    <comment ref="A1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A1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sure why this line is here.  Left over fromYvonne.</t>
        </r>
      </text>
    </comment>
    <comment ref="A1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A1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</commentList>
</comments>
</file>

<file path=xl/sharedStrings.xml><?xml version="1.0" encoding="utf-8"?>
<sst xmlns="http://schemas.openxmlformats.org/spreadsheetml/2006/main" count="772" uniqueCount="154">
  <si>
    <t>REVISED</t>
  </si>
  <si>
    <t xml:space="preserve"> </t>
  </si>
  <si>
    <t>at 5/18/2016</t>
  </si>
  <si>
    <t>in thousands</t>
  </si>
  <si>
    <t>BOOK VALUE @ DEC</t>
  </si>
  <si>
    <t>YEAR ASSESSED</t>
  </si>
  <si>
    <t>YEAR TAX ACCRUED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</si>
  <si>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</si>
  <si>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</si>
  <si>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</si>
  <si>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</si>
  <si>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</si>
  <si>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</si>
  <si>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</si>
  <si>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</si>
  <si>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</si>
  <si>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</si>
  <si>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</si>
  <si>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</si>
  <si>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2010 Actual</t>
  </si>
  <si>
    <t>2011 Actual</t>
  </si>
  <si>
    <t>2012 Actual</t>
  </si>
  <si>
    <t>2013 ACTUALS</t>
  </si>
  <si>
    <t>2014 ACTUALS</t>
  </si>
  <si>
    <t>2015 ACTUALS</t>
  </si>
  <si>
    <t>2018 Estimate</t>
  </si>
  <si>
    <t>2019 Estimate</t>
  </si>
  <si>
    <t>2020 Estimate</t>
  </si>
  <si>
    <t>2021 Estimate</t>
  </si>
  <si>
    <t>WASHINGTON - ELECTRIC</t>
  </si>
  <si>
    <t>HIST COST INDICATOR</t>
  </si>
  <si>
    <t>ESTIMATED SYSTEM VALUE</t>
  </si>
  <si>
    <t>ADD : NET ADDITIONS TO PLANT</t>
  </si>
  <si>
    <t>LESS: Intangibles Other</t>
  </si>
  <si>
    <t>ADD : Smart Grid CIAC</t>
  </si>
  <si>
    <t>LESS : Vehicles</t>
  </si>
  <si>
    <t>LESS : DEPR EST (see Form 1 page 115 rounded)</t>
  </si>
  <si>
    <t>TAXABLE PERCENTAGE</t>
  </si>
  <si>
    <t>STATE ALLOCATION %</t>
  </si>
  <si>
    <t>ALLOCATED VALUE</t>
  </si>
  <si>
    <t>add:adjustments</t>
  </si>
  <si>
    <t>GROSS ASSESSED VALUE</t>
  </si>
  <si>
    <t>ASSESSED VALUE</t>
  </si>
  <si>
    <t>OTHER</t>
  </si>
  <si>
    <t>TAX RATE</t>
  </si>
  <si>
    <t>TAX</t>
  </si>
  <si>
    <t>2010 ACTUAL</t>
  </si>
  <si>
    <t>2013 Actual</t>
  </si>
  <si>
    <t>2014 Actual</t>
  </si>
  <si>
    <t>2015 Actual</t>
  </si>
  <si>
    <t>2016 ACTUAL</t>
  </si>
  <si>
    <t>IDAHO - ELECTRIC</t>
  </si>
  <si>
    <t>LESS : DEPR EST</t>
  </si>
  <si>
    <t>LESS : OTHER</t>
  </si>
  <si>
    <t>AMENDED VALUE</t>
  </si>
  <si>
    <t>RATIO</t>
  </si>
  <si>
    <t>MONTANA - ELECTRIC</t>
  </si>
  <si>
    <t>(combine  E &amp; G)</t>
  </si>
  <si>
    <t>ADD : NET ADDITIONS TO PLANT - E &amp; G</t>
  </si>
  <si>
    <t>LESS : INTANGIBLE EST</t>
  </si>
  <si>
    <t>add: adjustments</t>
  </si>
  <si>
    <t>EQUALIZATION FACTOR</t>
  </si>
  <si>
    <t>GROSS MARKET VALUE</t>
  </si>
  <si>
    <t>taxable VALUE</t>
  </si>
  <si>
    <t>adjustments</t>
  </si>
  <si>
    <t>taxable value</t>
  </si>
  <si>
    <t>OREGON - ELECTRIC</t>
  </si>
  <si>
    <t>10/11 ACTUAL</t>
  </si>
  <si>
    <t>11/12 Actual</t>
  </si>
  <si>
    <t>12/13 Actual</t>
  </si>
  <si>
    <t>13/14 Actual</t>
  </si>
  <si>
    <t>14/15 Actual</t>
  </si>
  <si>
    <t>15/16 Actual</t>
  </si>
  <si>
    <t>16/17 Actual</t>
  </si>
  <si>
    <t>19/20 Estimate</t>
  </si>
  <si>
    <t>(Imnaha transmission line)</t>
  </si>
  <si>
    <t>ADD : LOLO-OXBOW TRANSMISSION LINE - LOCATION 640 (ptn in ID, ptn in OR)</t>
  </si>
  <si>
    <t>ADD: POLL CONTROL EQUIP</t>
  </si>
  <si>
    <t>Coyote Springs II &amp; misc</t>
  </si>
  <si>
    <t>LESS : DEPR</t>
  </si>
  <si>
    <t>ADD : 100% CS II GENERATING PLANT March 1, 2003 ?</t>
  </si>
  <si>
    <t>na</t>
  </si>
  <si>
    <t>Other Misc property taxes</t>
  </si>
  <si>
    <t>In Lieu of Ad Valorem Taxes for 5 year staring in 2003 - Flat Rate</t>
  </si>
  <si>
    <t>Estimated levy rate</t>
  </si>
  <si>
    <t>% ownership of plant</t>
  </si>
  <si>
    <t>Tax due from Avista Corp</t>
  </si>
  <si>
    <t>WASHINGTON - GAS</t>
  </si>
  <si>
    <t xml:space="preserve">2010 Actual </t>
  </si>
  <si>
    <t>2013 Actuals</t>
  </si>
  <si>
    <t>2014 Actuals</t>
  </si>
  <si>
    <t>2015 Actuals</t>
  </si>
  <si>
    <t>LESS : DEPR EST(see Form 1 pg 115 - Rounded)</t>
  </si>
  <si>
    <t>IDAHO - GAS</t>
  </si>
  <si>
    <t>OREGON - GAS</t>
  </si>
  <si>
    <t>ESTIMATED STATE VALUE</t>
  </si>
  <si>
    <t>ADD : NET ADDs TO PLANT (OREGON ONLY)</t>
  </si>
  <si>
    <t>STATE VALUE</t>
  </si>
  <si>
    <t>Adjustments:</t>
  </si>
  <si>
    <t>at 10/13/2015</t>
  </si>
  <si>
    <t>SUMMARY:</t>
  </si>
  <si>
    <t xml:space="preserve">Actual </t>
  </si>
  <si>
    <t>Actual</t>
  </si>
  <si>
    <t>Estimate</t>
  </si>
  <si>
    <t>ELECTRIC:</t>
  </si>
  <si>
    <t xml:space="preserve">     WASHINGTON</t>
  </si>
  <si>
    <t xml:space="preserve">     EST ADJ TO WASH</t>
  </si>
  <si>
    <t xml:space="preserve">     IDAHO</t>
  </si>
  <si>
    <t xml:space="preserve">     MONTANA</t>
  </si>
  <si>
    <t xml:space="preserve">     OREGON - Transm line only</t>
  </si>
  <si>
    <t xml:space="preserve">     OREGON - Coyote Springs II</t>
  </si>
  <si>
    <t xml:space="preserve">          SUBTOTAL</t>
  </si>
  <si>
    <t>GAS:</t>
  </si>
  <si>
    <t xml:space="preserve">     WASHINGTON </t>
  </si>
  <si>
    <t xml:space="preserve">     OREGON</t>
  </si>
  <si>
    <t>TOTAL EST TAX</t>
  </si>
  <si>
    <t>Uses 2% levy increases</t>
  </si>
  <si>
    <t>at 05/02/2017</t>
  </si>
  <si>
    <t>HIST COST INDICATOR-State Assessment</t>
  </si>
  <si>
    <t>STATE ALLOCATION % - 3 Factor calculation - page 9 of WA Appraisal</t>
  </si>
  <si>
    <t>**EQUALIZED VALUE per state Certification Report</t>
  </si>
  <si>
    <t>equalization factor (state adj to reflect annual assessment impacts)</t>
  </si>
  <si>
    <t>TAXABLE PERCENTAGE - Total Plant net of Exemptions- page 3 of WA Appraisal</t>
  </si>
  <si>
    <t>ASSESSED VALUE - (for county taxation)</t>
  </si>
  <si>
    <t>TAX RATE (actuals from WA payment summary sheet - wgted rate)</t>
  </si>
  <si>
    <t>2017-2021</t>
  </si>
  <si>
    <t>ASSESSED VALUE OREGON</t>
  </si>
  <si>
    <t>ASSESSED VALUE - before Intangible adj</t>
  </si>
  <si>
    <t>2016 ACTUALS</t>
  </si>
  <si>
    <t>2016 Actuals</t>
  </si>
  <si>
    <t>ACTUAL</t>
  </si>
  <si>
    <t>2017 Actuals</t>
  </si>
  <si>
    <t>at 08/13/2018</t>
  </si>
  <si>
    <t>17/18 Actual</t>
  </si>
  <si>
    <t>17/18 Actuals</t>
  </si>
  <si>
    <t>2022 Estimate</t>
  </si>
  <si>
    <t>20/21 Estimate</t>
  </si>
  <si>
    <t>21/22 Estimate</t>
  </si>
  <si>
    <t>22/23 Estimate</t>
  </si>
  <si>
    <r>
      <t xml:space="preserve">ASSESSED VALUE - </t>
    </r>
    <r>
      <rPr>
        <b/>
        <u/>
        <sz val="11"/>
        <rFont val="Calibri"/>
        <family val="2"/>
        <scheme val="minor"/>
      </rPr>
      <t>after</t>
    </r>
    <r>
      <rPr>
        <b/>
        <sz val="11"/>
        <rFont val="Calibri"/>
        <family val="2"/>
        <scheme val="minor"/>
      </rPr>
      <t xml:space="preserve"> Intangible adj</t>
    </r>
  </si>
  <si>
    <r>
      <t>RATIO (</t>
    </r>
    <r>
      <rPr>
        <b/>
        <sz val="11"/>
        <color rgb="FF0000CC"/>
        <rFont val="Calibri"/>
        <family val="2"/>
        <scheme val="minor"/>
      </rPr>
      <t>see County allocation report</t>
    </r>
    <r>
      <rPr>
        <b/>
        <sz val="11"/>
        <rFont val="Calibri"/>
        <family val="2"/>
        <scheme val="minor"/>
      </rPr>
      <t>)</t>
    </r>
  </si>
  <si>
    <t>at 08/17/2018</t>
  </si>
  <si>
    <t>Uses 1% levy increases</t>
  </si>
  <si>
    <t>Uses 1.5% levy increases</t>
  </si>
  <si>
    <t>2022-2023</t>
  </si>
  <si>
    <t>2018-2023</t>
  </si>
  <si>
    <t>at 01/10/2019</t>
  </si>
  <si>
    <t xml:space="preserve">YEAR TAX PAYABLE </t>
  </si>
  <si>
    <t>2018 Actuals</t>
  </si>
  <si>
    <t>2018 Actual</t>
  </si>
  <si>
    <t>18/19 Actual</t>
  </si>
  <si>
    <r>
      <t xml:space="preserve">PROPERTY TAX ESTIMATES FOR </t>
    </r>
    <r>
      <rPr>
        <b/>
        <u/>
        <sz val="11"/>
        <color indexed="12"/>
        <rFont val="Calibri"/>
        <family val="2"/>
        <scheme val="minor"/>
      </rPr>
      <t xml:space="preserve">5YR FORECAST </t>
    </r>
    <r>
      <rPr>
        <b/>
        <sz val="10"/>
        <color indexed="12"/>
        <rFont val="Helv"/>
      </rPr>
      <t/>
    </r>
  </si>
  <si>
    <t>2023-2024</t>
  </si>
  <si>
    <t>2023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</si>
</sst>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0.0%"/>
    <numFmt numFmtId="165" formatCode="0.0000%"/>
    <numFmt numFmtId="166" formatCode="0.00000%"/>
    <numFmt numFmtId="167" formatCode="0.000"/>
    <numFmt numFmtId="168" formatCode="0.0000"/>
    <numFmt numFmtId="169" formatCode="0.000000"/>
    <numFmt numFmtId="170" formatCode="0.00000"/>
    <numFmt numFmtId="171" formatCode="0.000000%"/>
    <numFmt numFmtId="172" formatCode="0.000%"/>
    <numFmt numFmtId="173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Helv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rgb="FF660066"/>
      <name val="Calibri"/>
      <family val="2"/>
      <scheme val="minor"/>
    </font>
    <font>
      <b/>
      <sz val="11"/>
      <color rgb="FF006600"/>
      <name val="Calibri"/>
      <family val="2"/>
      <scheme val="minor"/>
    </font>
    <font>
      <b/>
      <sz val="11"/>
      <color rgb="FF990033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b/>
      <sz val="11"/>
      <color rgb="FFA5002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5">
    <xf numFmtId="0" fontId="0" fillId="0" borderId="0" xfId="0"/>
    <xf numFmtId="164" fontId="0" fillId="0" borderId="0" xfId="2" applyNumberFormat="1" applyFont="1"/>
    <xf numFmtId="164" fontId="0" fillId="0" borderId="0" xfId="2" applyNumberFormat="1" applyFont="1" applyFill="1"/>
    <xf numFmtId="164" fontId="0" fillId="0" borderId="0" xfId="2" applyNumberFormat="1" applyFont="1" applyBorder="1"/>
    <xf numFmtId="164" fontId="0" fillId="0" borderId="0" xfId="2" applyNumberFormat="1" applyFont="1" applyFill="1" applyBorder="1"/>
    <xf numFmtId="164" fontId="0" fillId="0" borderId="0" xfId="2" applyNumberFormat="1" applyFont="1" applyFill="1" applyAlignment="1">
      <alignment horizontal="center"/>
    </xf>
    <xf numFmtId="164" fontId="0" fillId="0" borderId="11" xfId="2" applyNumberFormat="1" applyFont="1" applyBorder="1"/>
    <xf numFmtId="164" fontId="0" fillId="0" borderId="13" xfId="2" applyNumberFormat="1" applyFont="1" applyBorder="1"/>
    <xf numFmtId="164" fontId="0" fillId="0" borderId="13" xfId="2" applyNumberFormat="1" applyFont="1" applyFill="1" applyBorder="1"/>
    <xf numFmtId="0" fontId="5" fillId="0" borderId="0" xfId="0" applyFont="1"/>
    <xf numFmtId="10" fontId="0" fillId="0" borderId="0" xfId="2" applyNumberFormat="1" applyFont="1"/>
    <xf numFmtId="0" fontId="5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1" xfId="0" applyFont="1" applyBorder="1"/>
    <xf numFmtId="0" fontId="0" fillId="0" borderId="6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3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0" fontId="0" fillId="0" borderId="7" xfId="0" applyFont="1" applyBorder="1"/>
    <xf numFmtId="0" fontId="7" fillId="2" borderId="1" xfId="0" applyFont="1" applyFill="1" applyBorder="1" applyAlignment="1">
      <alignment horizontal="center"/>
    </xf>
    <xf numFmtId="0" fontId="5" fillId="0" borderId="0" xfId="0" applyFont="1" applyBorder="1"/>
    <xf numFmtId="0" fontId="7" fillId="2" borderId="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164" fontId="8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5" fillId="0" borderId="4" xfId="2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164" fontId="9" fillId="0" borderId="5" xfId="2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4" borderId="4" xfId="0" quotePrefix="1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164" fontId="5" fillId="0" borderId="4" xfId="2" quotePrefix="1" applyNumberFormat="1" applyFont="1" applyFill="1" applyBorder="1" applyAlignment="1">
      <alignment horizontal="center"/>
    </xf>
    <xf numFmtId="0" fontId="9" fillId="0" borderId="7" xfId="0" applyFont="1" applyBorder="1"/>
    <xf numFmtId="0" fontId="9" fillId="4" borderId="8" xfId="0" applyFont="1" applyFill="1" applyBorder="1"/>
    <xf numFmtId="0" fontId="9" fillId="0" borderId="8" xfId="0" applyFont="1" applyFill="1" applyBorder="1"/>
    <xf numFmtId="164" fontId="9" fillId="0" borderId="8" xfId="2" applyNumberFormat="1" applyFont="1" applyFill="1" applyBorder="1"/>
    <xf numFmtId="0" fontId="9" fillId="0" borderId="9" xfId="0" applyFont="1" applyBorder="1"/>
    <xf numFmtId="0" fontId="9" fillId="4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164" fontId="10" fillId="0" borderId="8" xfId="2" applyNumberFormat="1" applyFont="1" applyFill="1" applyBorder="1" applyAlignment="1">
      <alignment horizontal="center"/>
    </xf>
    <xf numFmtId="0" fontId="11" fillId="0" borderId="9" xfId="0" applyFont="1" applyBorder="1"/>
    <xf numFmtId="0" fontId="5" fillId="4" borderId="5" xfId="0" applyFont="1" applyFill="1" applyBorder="1"/>
    <xf numFmtId="0" fontId="9" fillId="4" borderId="5" xfId="0" applyFont="1" applyFill="1" applyBorder="1"/>
    <xf numFmtId="0" fontId="9" fillId="0" borderId="5" xfId="0" applyFont="1" applyFill="1" applyBorder="1"/>
    <xf numFmtId="164" fontId="5" fillId="0" borderId="5" xfId="2" applyNumberFormat="1" applyFont="1" applyFill="1" applyBorder="1"/>
    <xf numFmtId="0" fontId="5" fillId="0" borderId="5" xfId="0" applyFont="1" applyFill="1" applyBorder="1"/>
    <xf numFmtId="0" fontId="12" fillId="4" borderId="5" xfId="0" applyFont="1" applyFill="1" applyBorder="1" applyAlignment="1">
      <alignment horizontal="center"/>
    </xf>
    <xf numFmtId="164" fontId="12" fillId="0" borderId="5" xfId="2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3" fontId="9" fillId="4" borderId="5" xfId="0" applyNumberFormat="1" applyFont="1" applyFill="1" applyBorder="1" applyAlignment="1">
      <alignment horizontal="right"/>
    </xf>
    <xf numFmtId="3" fontId="9" fillId="0" borderId="5" xfId="0" applyNumberFormat="1" applyFont="1" applyFill="1" applyBorder="1" applyAlignment="1">
      <alignment horizontal="right"/>
    </xf>
    <xf numFmtId="164" fontId="12" fillId="0" borderId="5" xfId="2" applyNumberFormat="1" applyFont="1" applyFill="1" applyBorder="1" applyAlignment="1">
      <alignment horizontal="right"/>
    </xf>
    <xf numFmtId="3" fontId="12" fillId="0" borderId="5" xfId="0" applyNumberFormat="1" applyFont="1" applyFill="1" applyBorder="1" applyAlignment="1">
      <alignment horizontal="right"/>
    </xf>
    <xf numFmtId="164" fontId="9" fillId="0" borderId="5" xfId="2" applyNumberFormat="1" applyFont="1" applyFill="1" applyBorder="1" applyAlignment="1">
      <alignment horizontal="right"/>
    </xf>
    <xf numFmtId="3" fontId="5" fillId="4" borderId="5" xfId="0" applyNumberFormat="1" applyFont="1" applyFill="1" applyBorder="1" applyAlignment="1">
      <alignment horizontal="right"/>
    </xf>
    <xf numFmtId="3" fontId="12" fillId="4" borderId="5" xfId="0" applyNumberFormat="1" applyFont="1" applyFill="1" applyBorder="1" applyAlignment="1">
      <alignment horizontal="right"/>
    </xf>
    <xf numFmtId="0" fontId="9" fillId="0" borderId="9" xfId="0" applyFont="1" applyFill="1" applyBorder="1"/>
    <xf numFmtId="3" fontId="12" fillId="5" borderId="5" xfId="0" applyNumberFormat="1" applyFont="1" applyFill="1" applyBorder="1" applyAlignment="1">
      <alignment horizontal="right"/>
    </xf>
    <xf numFmtId="3" fontId="9" fillId="4" borderId="8" xfId="0" applyNumberFormat="1" applyFont="1" applyFill="1" applyBorder="1" applyAlignment="1">
      <alignment horizontal="right"/>
    </xf>
    <xf numFmtId="3" fontId="12" fillId="4" borderId="8" xfId="0" applyNumberFormat="1" applyFont="1" applyFill="1" applyBorder="1" applyAlignment="1">
      <alignment horizontal="right"/>
    </xf>
    <xf numFmtId="3" fontId="12" fillId="0" borderId="8" xfId="0" applyNumberFormat="1" applyFont="1" applyFill="1" applyBorder="1" applyAlignment="1">
      <alignment horizontal="right"/>
    </xf>
    <xf numFmtId="164" fontId="12" fillId="0" borderId="8" xfId="2" applyNumberFormat="1" applyFont="1" applyFill="1" applyBorder="1" applyAlignment="1">
      <alignment horizontal="right"/>
    </xf>
    <xf numFmtId="3" fontId="5" fillId="4" borderId="8" xfId="0" applyNumberFormat="1" applyFont="1" applyFill="1" applyBorder="1" applyAlignment="1">
      <alignment horizontal="right"/>
    </xf>
    <xf numFmtId="3" fontId="9" fillId="0" borderId="8" xfId="0" applyNumberFormat="1" applyFont="1" applyFill="1" applyBorder="1" applyAlignment="1">
      <alignment horizontal="right"/>
    </xf>
    <xf numFmtId="164" fontId="9" fillId="0" borderId="8" xfId="2" applyNumberFormat="1" applyFont="1" applyFill="1" applyBorder="1" applyAlignment="1">
      <alignment horizontal="right"/>
    </xf>
    <xf numFmtId="3" fontId="12" fillId="5" borderId="8" xfId="0" applyNumberFormat="1" applyFont="1" applyFill="1" applyBorder="1" applyAlignment="1">
      <alignment horizontal="right"/>
    </xf>
    <xf numFmtId="165" fontId="9" fillId="4" borderId="5" xfId="0" applyNumberFormat="1" applyFont="1" applyFill="1" applyBorder="1" applyAlignment="1">
      <alignment horizontal="right"/>
    </xf>
    <xf numFmtId="165" fontId="9" fillId="0" borderId="5" xfId="0" applyNumberFormat="1" applyFont="1" applyFill="1" applyBorder="1" applyAlignment="1">
      <alignment horizontal="right"/>
    </xf>
    <xf numFmtId="166" fontId="9" fillId="4" borderId="5" xfId="0" applyNumberFormat="1" applyFont="1" applyFill="1" applyBorder="1" applyAlignment="1">
      <alignment horizontal="right"/>
    </xf>
    <xf numFmtId="165" fontId="12" fillId="0" borderId="5" xfId="0" applyNumberFormat="1" applyFont="1" applyFill="1" applyBorder="1" applyAlignment="1">
      <alignment horizontal="right"/>
    </xf>
    <xf numFmtId="165" fontId="9" fillId="4" borderId="8" xfId="0" applyNumberFormat="1" applyFont="1" applyFill="1" applyBorder="1" applyAlignment="1">
      <alignment horizontal="right"/>
    </xf>
    <xf numFmtId="165" fontId="9" fillId="0" borderId="8" xfId="0" applyNumberFormat="1" applyFont="1" applyFill="1" applyBorder="1" applyAlignment="1">
      <alignment horizontal="right"/>
    </xf>
    <xf numFmtId="164" fontId="13" fillId="0" borderId="8" xfId="2" applyNumberFormat="1" applyFont="1" applyFill="1" applyBorder="1" applyAlignment="1">
      <alignment horizontal="right"/>
    </xf>
    <xf numFmtId="166" fontId="9" fillId="4" borderId="8" xfId="0" applyNumberFormat="1" applyFont="1" applyFill="1" applyBorder="1" applyAlignment="1">
      <alignment horizontal="right"/>
    </xf>
    <xf numFmtId="165" fontId="12" fillId="0" borderId="8" xfId="0" applyNumberFormat="1" applyFont="1" applyFill="1" applyBorder="1" applyAlignment="1">
      <alignment horizontal="right"/>
    </xf>
    <xf numFmtId="167" fontId="9" fillId="4" borderId="8" xfId="0" applyNumberFormat="1" applyFont="1" applyFill="1" applyBorder="1" applyAlignment="1">
      <alignment horizontal="right"/>
    </xf>
    <xf numFmtId="168" fontId="9" fillId="4" borderId="8" xfId="0" applyNumberFormat="1" applyFont="1" applyFill="1" applyBorder="1" applyAlignment="1">
      <alignment horizontal="right"/>
    </xf>
    <xf numFmtId="168" fontId="10" fillId="0" borderId="8" xfId="0" applyNumberFormat="1" applyFont="1" applyFill="1" applyBorder="1" applyAlignment="1">
      <alignment horizontal="right"/>
    </xf>
    <xf numFmtId="167" fontId="12" fillId="0" borderId="8" xfId="0" applyNumberFormat="1" applyFont="1" applyFill="1" applyBorder="1" applyAlignment="1">
      <alignment horizontal="right"/>
    </xf>
    <xf numFmtId="3" fontId="9" fillId="4" borderId="4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164" fontId="12" fillId="0" borderId="4" xfId="2" applyNumberFormat="1" applyFont="1" applyFill="1" applyBorder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10" fontId="7" fillId="4" borderId="0" xfId="2" applyNumberFormat="1" applyFont="1" applyFill="1"/>
    <xf numFmtId="169" fontId="9" fillId="4" borderId="8" xfId="0" applyNumberFormat="1" applyFont="1" applyFill="1" applyBorder="1" applyAlignment="1">
      <alignment horizontal="right"/>
    </xf>
    <xf numFmtId="170" fontId="9" fillId="4" borderId="8" xfId="0" applyNumberFormat="1" applyFont="1" applyFill="1" applyBorder="1" applyAlignment="1">
      <alignment horizontal="right"/>
    </xf>
    <xf numFmtId="164" fontId="8" fillId="4" borderId="0" xfId="2" applyNumberFormat="1" applyFont="1" applyFill="1"/>
    <xf numFmtId="170" fontId="12" fillId="0" borderId="0" xfId="0" applyNumberFormat="1" applyFont="1" applyFill="1" applyBorder="1" applyAlignment="1">
      <alignment horizontal="right"/>
    </xf>
    <xf numFmtId="164" fontId="14" fillId="4" borderId="0" xfId="2" applyNumberFormat="1" applyFont="1" applyFill="1"/>
    <xf numFmtId="0" fontId="5" fillId="4" borderId="5" xfId="0" applyFont="1" applyFill="1" applyBorder="1" applyAlignment="1">
      <alignment horizontal="right"/>
    </xf>
    <xf numFmtId="0" fontId="9" fillId="4" borderId="5" xfId="0" applyFont="1" applyFill="1" applyBorder="1" applyAlignment="1">
      <alignment horizontal="right"/>
    </xf>
    <xf numFmtId="0" fontId="12" fillId="0" borderId="5" xfId="0" applyFont="1" applyFill="1" applyBorder="1" applyAlignment="1">
      <alignment horizontal="right"/>
    </xf>
    <xf numFmtId="3" fontId="9" fillId="4" borderId="10" xfId="0" applyNumberFormat="1" applyFont="1" applyFill="1" applyBorder="1"/>
    <xf numFmtId="3" fontId="12" fillId="0" borderId="10" xfId="0" applyNumberFormat="1" applyFont="1" applyFill="1" applyBorder="1"/>
    <xf numFmtId="164" fontId="12" fillId="0" borderId="10" xfId="2" applyNumberFormat="1" applyFont="1" applyFill="1" applyBorder="1"/>
    <xf numFmtId="0" fontId="5" fillId="4" borderId="11" xfId="0" applyFont="1" applyFill="1" applyBorder="1"/>
    <xf numFmtId="0" fontId="5" fillId="0" borderId="11" xfId="0" applyFont="1" applyFill="1" applyBorder="1"/>
    <xf numFmtId="164" fontId="5" fillId="0" borderId="11" xfId="2" applyNumberFormat="1" applyFont="1" applyFill="1" applyBorder="1"/>
    <xf numFmtId="0" fontId="9" fillId="0" borderId="11" xfId="0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Fill="1" applyBorder="1" applyAlignment="1">
      <alignment horizontal="center"/>
    </xf>
    <xf numFmtId="0" fontId="11" fillId="0" borderId="5" xfId="0" applyFont="1" applyBorder="1"/>
    <xf numFmtId="164" fontId="10" fillId="0" borderId="5" xfId="2" applyNumberFormat="1" applyFont="1" applyFill="1" applyBorder="1" applyAlignment="1">
      <alignment horizontal="right"/>
    </xf>
    <xf numFmtId="3" fontId="10" fillId="4" borderId="5" xfId="0" applyNumberFormat="1" applyFont="1" applyFill="1" applyBorder="1" applyAlignment="1">
      <alignment horizontal="right"/>
    </xf>
    <xf numFmtId="3" fontId="10" fillId="0" borderId="5" xfId="0" applyNumberFormat="1" applyFont="1" applyFill="1" applyBorder="1" applyAlignment="1">
      <alignment horizontal="right"/>
    </xf>
    <xf numFmtId="3" fontId="6" fillId="4" borderId="5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64" fontId="6" fillId="0" borderId="5" xfId="2" applyNumberFormat="1" applyFont="1" applyFill="1" applyBorder="1" applyAlignment="1">
      <alignment horizontal="right"/>
    </xf>
    <xf numFmtId="3" fontId="10" fillId="3" borderId="8" xfId="0" applyNumberFormat="1" applyFont="1" applyFill="1" applyBorder="1" applyAlignment="1">
      <alignment horizontal="center"/>
    </xf>
    <xf numFmtId="171" fontId="9" fillId="4" borderId="8" xfId="0" applyNumberFormat="1" applyFont="1" applyFill="1" applyBorder="1" applyAlignment="1">
      <alignment horizontal="right"/>
    </xf>
    <xf numFmtId="165" fontId="9" fillId="3" borderId="8" xfId="0" applyNumberFormat="1" applyFont="1" applyFill="1" applyBorder="1" applyAlignment="1">
      <alignment horizontal="right"/>
    </xf>
    <xf numFmtId="3" fontId="9" fillId="3" borderId="5" xfId="0" applyNumberFormat="1" applyFont="1" applyFill="1" applyBorder="1" applyAlignment="1">
      <alignment horizontal="right"/>
    </xf>
    <xf numFmtId="3" fontId="9" fillId="3" borderId="8" xfId="0" applyNumberFormat="1" applyFont="1" applyFill="1" applyBorder="1" applyAlignment="1">
      <alignment horizontal="right"/>
    </xf>
    <xf numFmtId="2" fontId="9" fillId="4" borderId="8" xfId="0" applyNumberFormat="1" applyFont="1" applyFill="1" applyBorder="1" applyAlignment="1">
      <alignment horizontal="right"/>
    </xf>
    <xf numFmtId="2" fontId="9" fillId="0" borderId="8" xfId="0" applyNumberFormat="1" applyFont="1" applyFill="1" applyBorder="1" applyAlignment="1">
      <alignment horizontal="right"/>
    </xf>
    <xf numFmtId="2" fontId="12" fillId="0" borderId="8" xfId="0" applyNumberFormat="1" applyFont="1" applyFill="1" applyBorder="1" applyAlignment="1">
      <alignment horizontal="right"/>
    </xf>
    <xf numFmtId="172" fontId="14" fillId="4" borderId="0" xfId="2" applyNumberFormat="1" applyFont="1" applyFill="1"/>
    <xf numFmtId="170" fontId="9" fillId="0" borderId="0" xfId="0" applyNumberFormat="1" applyFont="1" applyFill="1" applyBorder="1" applyAlignment="1">
      <alignment horizontal="right"/>
    </xf>
    <xf numFmtId="10" fontId="8" fillId="4" borderId="0" xfId="2" applyNumberFormat="1" applyFont="1" applyFill="1"/>
    <xf numFmtId="0" fontId="9" fillId="0" borderId="5" xfId="0" applyFont="1" applyFill="1" applyBorder="1" applyAlignment="1">
      <alignment horizontal="right"/>
    </xf>
    <xf numFmtId="0" fontId="9" fillId="0" borderId="8" xfId="0" applyFont="1" applyBorder="1"/>
    <xf numFmtId="3" fontId="9" fillId="0" borderId="10" xfId="0" applyNumberFormat="1" applyFont="1" applyFill="1" applyBorder="1"/>
    <xf numFmtId="0" fontId="9" fillId="0" borderId="0" xfId="0" applyFont="1"/>
    <xf numFmtId="0" fontId="5" fillId="4" borderId="0" xfId="0" applyFont="1" applyFill="1" applyBorder="1"/>
    <xf numFmtId="0" fontId="5" fillId="0" borderId="0" xfId="0" applyFont="1" applyFill="1" applyBorder="1"/>
    <xf numFmtId="164" fontId="5" fillId="0" borderId="0" xfId="2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9" xfId="0" applyFont="1" applyBorder="1" applyAlignment="1">
      <alignment horizontal="left"/>
    </xf>
    <xf numFmtId="3" fontId="9" fillId="4" borderId="12" xfId="0" applyNumberFormat="1" applyFont="1" applyFill="1" applyBorder="1"/>
    <xf numFmtId="3" fontId="9" fillId="0" borderId="12" xfId="0" applyNumberFormat="1" applyFont="1" applyFill="1" applyBorder="1"/>
    <xf numFmtId="164" fontId="10" fillId="0" borderId="12" xfId="2" applyNumberFormat="1" applyFont="1" applyFill="1" applyBorder="1"/>
    <xf numFmtId="3" fontId="10" fillId="0" borderId="12" xfId="0" applyNumberFormat="1" applyFont="1" applyFill="1" applyBorder="1"/>
    <xf numFmtId="164" fontId="9" fillId="0" borderId="12" xfId="2" applyNumberFormat="1" applyFont="1" applyFill="1" applyBorder="1"/>
    <xf numFmtId="3" fontId="5" fillId="0" borderId="5" xfId="0" applyNumberFormat="1" applyFont="1" applyFill="1" applyBorder="1" applyAlignment="1">
      <alignment horizontal="right"/>
    </xf>
    <xf numFmtId="3" fontId="12" fillId="6" borderId="5" xfId="0" applyNumberFormat="1" applyFont="1" applyFill="1" applyBorder="1" applyAlignment="1">
      <alignment horizontal="right"/>
    </xf>
    <xf numFmtId="3" fontId="5" fillId="0" borderId="8" xfId="0" applyNumberFormat="1" applyFont="1" applyFill="1" applyBorder="1" applyAlignment="1">
      <alignment horizontal="right"/>
    </xf>
    <xf numFmtId="2" fontId="9" fillId="4" borderId="5" xfId="0" applyNumberFormat="1" applyFont="1" applyFill="1" applyBorder="1" applyAlignment="1">
      <alignment horizontal="right"/>
    </xf>
    <xf numFmtId="2" fontId="9" fillId="0" borderId="5" xfId="0" applyNumberFormat="1" applyFont="1" applyFill="1" applyBorder="1" applyAlignment="1">
      <alignment horizontal="right"/>
    </xf>
    <xf numFmtId="2" fontId="12" fillId="0" borderId="5" xfId="0" applyNumberFormat="1" applyFont="1" applyFill="1" applyBorder="1" applyAlignment="1">
      <alignment horizontal="right"/>
    </xf>
    <xf numFmtId="0" fontId="9" fillId="0" borderId="9" xfId="0" quotePrefix="1" applyFont="1" applyBorder="1" applyAlignment="1">
      <alignment horizontal="left"/>
    </xf>
    <xf numFmtId="168" fontId="5" fillId="0" borderId="8" xfId="0" applyNumberFormat="1" applyFont="1" applyFill="1" applyBorder="1" applyAlignment="1">
      <alignment horizontal="right"/>
    </xf>
    <xf numFmtId="168" fontId="12" fillId="0" borderId="8" xfId="0" applyNumberFormat="1" applyFont="1" applyFill="1" applyBorder="1" applyAlignment="1">
      <alignment horizontal="right"/>
    </xf>
    <xf numFmtId="168" fontId="8" fillId="0" borderId="8" xfId="0" applyNumberFormat="1" applyFont="1" applyFill="1" applyBorder="1" applyAlignment="1">
      <alignment horizontal="right"/>
    </xf>
    <xf numFmtId="168" fontId="9" fillId="3" borderId="8" xfId="0" applyNumberFormat="1" applyFont="1" applyFill="1" applyBorder="1" applyAlignment="1">
      <alignment horizontal="right"/>
    </xf>
    <xf numFmtId="164" fontId="8" fillId="0" borderId="8" xfId="2" applyNumberFormat="1" applyFont="1" applyFill="1" applyBorder="1" applyAlignment="1">
      <alignment horizontal="right"/>
    </xf>
    <xf numFmtId="3" fontId="8" fillId="0" borderId="5" xfId="0" applyNumberFormat="1" applyFont="1" applyFill="1" applyBorder="1" applyAlignment="1">
      <alignment horizontal="right"/>
    </xf>
    <xf numFmtId="164" fontId="8" fillId="0" borderId="5" xfId="2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10" fontId="14" fillId="4" borderId="0" xfId="2" applyNumberFormat="1" applyFont="1" applyFill="1"/>
    <xf numFmtId="172" fontId="8" fillId="4" borderId="0" xfId="2" applyNumberFormat="1" applyFont="1" applyFill="1"/>
    <xf numFmtId="0" fontId="9" fillId="0" borderId="0" xfId="0" applyFont="1" applyBorder="1"/>
    <xf numFmtId="3" fontId="5" fillId="0" borderId="0" xfId="0" applyNumberFormat="1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164" fontId="9" fillId="0" borderId="8" xfId="2" applyNumberFormat="1" applyFont="1" applyFill="1" applyBorder="1" applyAlignment="1">
      <alignment horizontal="center"/>
    </xf>
    <xf numFmtId="164" fontId="9" fillId="0" borderId="5" xfId="2" applyNumberFormat="1" applyFont="1" applyFill="1" applyBorder="1"/>
    <xf numFmtId="168" fontId="9" fillId="0" borderId="8" xfId="0" applyNumberFormat="1" applyFont="1" applyFill="1" applyBorder="1" applyAlignment="1">
      <alignment horizontal="right"/>
    </xf>
    <xf numFmtId="164" fontId="9" fillId="0" borderId="4" xfId="2" applyNumberFormat="1" applyFont="1" applyFill="1" applyBorder="1" applyAlignment="1">
      <alignment horizontal="right"/>
    </xf>
    <xf numFmtId="3" fontId="9" fillId="4" borderId="8" xfId="0" applyNumberFormat="1" applyFont="1" applyFill="1" applyBorder="1"/>
    <xf numFmtId="3" fontId="9" fillId="0" borderId="8" xfId="0" applyNumberFormat="1" applyFont="1" applyFill="1" applyBorder="1"/>
    <xf numFmtId="164" fontId="12" fillId="0" borderId="8" xfId="2" applyNumberFormat="1" applyFont="1" applyFill="1" applyBorder="1"/>
    <xf numFmtId="3" fontId="12" fillId="0" borderId="8" xfId="0" applyNumberFormat="1" applyFont="1" applyFill="1" applyBorder="1"/>
    <xf numFmtId="173" fontId="9" fillId="4" borderId="8" xfId="0" applyNumberFormat="1" applyFont="1" applyFill="1" applyBorder="1"/>
    <xf numFmtId="173" fontId="9" fillId="0" borderId="8" xfId="0" applyNumberFormat="1" applyFont="1" applyFill="1" applyBorder="1"/>
    <xf numFmtId="3" fontId="5" fillId="4" borderId="0" xfId="0" applyNumberFormat="1" applyFont="1" applyFill="1" applyBorder="1" applyAlignment="1">
      <alignment horizontal="center"/>
    </xf>
    <xf numFmtId="0" fontId="11" fillId="0" borderId="4" xfId="0" applyFont="1" applyBorder="1"/>
    <xf numFmtId="0" fontId="9" fillId="4" borderId="12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64" fontId="10" fillId="0" borderId="12" xfId="2" applyNumberFormat="1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4" borderId="4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3" fontId="9" fillId="4" borderId="5" xfId="1" applyNumberFormat="1" applyFont="1" applyFill="1" applyBorder="1"/>
    <xf numFmtId="3" fontId="9" fillId="0" borderId="0" xfId="1" applyNumberFormat="1" applyFont="1" applyFill="1" applyBorder="1"/>
    <xf numFmtId="164" fontId="12" fillId="0" borderId="0" xfId="2" applyNumberFormat="1" applyFont="1" applyFill="1" applyBorder="1"/>
    <xf numFmtId="3" fontId="12" fillId="0" borderId="5" xfId="1" applyNumberFormat="1" applyFont="1" applyFill="1" applyBorder="1"/>
    <xf numFmtId="3" fontId="9" fillId="0" borderId="5" xfId="1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164" fontId="12" fillId="0" borderId="0" xfId="2" applyNumberFormat="1" applyFont="1" applyFill="1" applyBorder="1" applyAlignment="1">
      <alignment horizontal="right"/>
    </xf>
    <xf numFmtId="3" fontId="9" fillId="4" borderId="5" xfId="1" applyNumberFormat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/>
    </xf>
    <xf numFmtId="3" fontId="12" fillId="4" borderId="5" xfId="1" applyNumberFormat="1" applyFont="1" applyFill="1" applyBorder="1" applyAlignment="1">
      <alignment horizontal="right"/>
    </xf>
    <xf numFmtId="3" fontId="12" fillId="0" borderId="5" xfId="1" applyNumberFormat="1" applyFont="1" applyFill="1" applyBorder="1" applyAlignment="1">
      <alignment horizontal="right"/>
    </xf>
    <xf numFmtId="3" fontId="9" fillId="0" borderId="5" xfId="1" applyNumberFormat="1" applyFont="1" applyFill="1" applyBorder="1" applyAlignment="1">
      <alignment horizontal="right"/>
    </xf>
    <xf numFmtId="10" fontId="9" fillId="4" borderId="8" xfId="2" applyNumberFormat="1" applyFont="1" applyFill="1" applyBorder="1" applyAlignment="1">
      <alignment horizontal="center"/>
    </xf>
    <xf numFmtId="10" fontId="9" fillId="0" borderId="0" xfId="2" applyNumberFormat="1" applyFont="1" applyFill="1" applyBorder="1" applyAlignment="1">
      <alignment horizontal="center"/>
    </xf>
    <xf numFmtId="10" fontId="5" fillId="4" borderId="8" xfId="2" applyNumberFormat="1" applyFont="1" applyFill="1" applyBorder="1" applyAlignment="1">
      <alignment horizontal="center"/>
    </xf>
    <xf numFmtId="10" fontId="9" fillId="0" borderId="8" xfId="2" applyNumberFormat="1" applyFont="1" applyFill="1" applyBorder="1" applyAlignment="1">
      <alignment horizontal="center"/>
    </xf>
    <xf numFmtId="1" fontId="9" fillId="4" borderId="12" xfId="2" applyNumberFormat="1" applyFont="1" applyFill="1" applyBorder="1"/>
    <xf numFmtId="1" fontId="9" fillId="0" borderId="0" xfId="2" applyNumberFormat="1" applyFont="1" applyFill="1" applyBorder="1"/>
    <xf numFmtId="1" fontId="5" fillId="4" borderId="12" xfId="2" applyNumberFormat="1" applyFont="1" applyFill="1" applyBorder="1"/>
    <xf numFmtId="1" fontId="9" fillId="0" borderId="12" xfId="2" applyNumberFormat="1" applyFont="1" applyFill="1" applyBorder="1"/>
    <xf numFmtId="0" fontId="9" fillId="4" borderId="12" xfId="0" applyFont="1" applyFill="1" applyBorder="1"/>
    <xf numFmtId="0" fontId="9" fillId="0" borderId="0" xfId="0" applyFont="1" applyFill="1" applyBorder="1"/>
    <xf numFmtId="0" fontId="5" fillId="4" borderId="12" xfId="0" applyFont="1" applyFill="1" applyBorder="1"/>
    <xf numFmtId="0" fontId="9" fillId="0" borderId="12" xfId="0" applyFont="1" applyFill="1" applyBorder="1"/>
    <xf numFmtId="10" fontId="8" fillId="4" borderId="12" xfId="2" applyNumberFormat="1" applyFont="1" applyFill="1" applyBorder="1"/>
    <xf numFmtId="9" fontId="9" fillId="4" borderId="12" xfId="2" applyFont="1" applyFill="1" applyBorder="1"/>
    <xf numFmtId="9" fontId="9" fillId="0" borderId="0" xfId="2" applyFont="1" applyFill="1" applyBorder="1"/>
    <xf numFmtId="9" fontId="9" fillId="0" borderId="12" xfId="2" applyFont="1" applyFill="1" applyBorder="1"/>
    <xf numFmtId="9" fontId="9" fillId="4" borderId="8" xfId="2" applyFont="1" applyFill="1" applyBorder="1"/>
    <xf numFmtId="9" fontId="9" fillId="0" borderId="8" xfId="2" applyFont="1" applyFill="1" applyBorder="1"/>
    <xf numFmtId="3" fontId="9" fillId="0" borderId="0" xfId="0" applyNumberFormat="1" applyFont="1" applyFill="1" applyBorder="1"/>
    <xf numFmtId="164" fontId="10" fillId="0" borderId="0" xfId="2" applyNumberFormat="1" applyFont="1" applyFill="1" applyBorder="1"/>
    <xf numFmtId="3" fontId="12" fillId="4" borderId="5" xfId="0" applyNumberFormat="1" applyFont="1" applyFill="1" applyBorder="1" applyAlignment="1">
      <alignment horizontal="center"/>
    </xf>
    <xf numFmtId="165" fontId="5" fillId="0" borderId="0" xfId="2" applyNumberFormat="1" applyFont="1"/>
    <xf numFmtId="165" fontId="9" fillId="4" borderId="8" xfId="2" applyNumberFormat="1" applyFont="1" applyFill="1" applyBorder="1" applyAlignment="1">
      <alignment horizontal="right"/>
    </xf>
    <xf numFmtId="165" fontId="10" fillId="0" borderId="8" xfId="2" applyNumberFormat="1" applyFont="1" applyFill="1" applyBorder="1" applyAlignment="1">
      <alignment horizontal="right"/>
    </xf>
    <xf numFmtId="165" fontId="12" fillId="0" borderId="8" xfId="2" applyNumberFormat="1" applyFont="1" applyFill="1" applyBorder="1" applyAlignment="1">
      <alignment horizontal="right"/>
    </xf>
    <xf numFmtId="164" fontId="10" fillId="0" borderId="8" xfId="2" applyNumberFormat="1" applyFont="1" applyFill="1" applyBorder="1" applyAlignment="1">
      <alignment horizontal="right"/>
    </xf>
    <xf numFmtId="10" fontId="14" fillId="0" borderId="0" xfId="2" applyNumberFormat="1" applyFont="1" applyFill="1"/>
    <xf numFmtId="164" fontId="14" fillId="0" borderId="0" xfId="2" applyNumberFormat="1" applyFont="1" applyFill="1"/>
    <xf numFmtId="170" fontId="5" fillId="4" borderId="8" xfId="0" applyNumberFormat="1" applyFont="1" applyFill="1" applyBorder="1" applyAlignment="1">
      <alignment horizontal="right"/>
    </xf>
    <xf numFmtId="164" fontId="9" fillId="4" borderId="0" xfId="2" applyNumberFormat="1" applyFont="1" applyFill="1"/>
    <xf numFmtId="0" fontId="9" fillId="0" borderId="4" xfId="0" applyFont="1" applyBorder="1"/>
    <xf numFmtId="0" fontId="5" fillId="4" borderId="4" xfId="0" applyFont="1" applyFill="1" applyBorder="1"/>
    <xf numFmtId="0" fontId="9" fillId="4" borderId="4" xfId="0" applyFont="1" applyFill="1" applyBorder="1"/>
    <xf numFmtId="0" fontId="5" fillId="0" borderId="4" xfId="0" applyFont="1" applyFill="1" applyBorder="1"/>
    <xf numFmtId="164" fontId="5" fillId="0" borderId="4" xfId="2" applyNumberFormat="1" applyFont="1" applyFill="1" applyBorder="1"/>
    <xf numFmtId="0" fontId="16" fillId="0" borderId="5" xfId="0" applyFont="1" applyBorder="1"/>
    <xf numFmtId="3" fontId="5" fillId="4" borderId="4" xfId="0" applyNumberFormat="1" applyFont="1" applyFill="1" applyBorder="1" applyAlignment="1">
      <alignment horizontal="right"/>
    </xf>
    <xf numFmtId="0" fontId="17" fillId="0" borderId="0" xfId="0" applyFont="1" applyFill="1" applyBorder="1"/>
    <xf numFmtId="164" fontId="9" fillId="0" borderId="12" xfId="2" applyNumberFormat="1" applyFont="1" applyFill="1" applyBorder="1" applyAlignment="1">
      <alignment horizontal="center"/>
    </xf>
    <xf numFmtId="10" fontId="9" fillId="4" borderId="5" xfId="0" applyNumberFormat="1" applyFont="1" applyFill="1" applyBorder="1" applyAlignment="1">
      <alignment horizontal="right"/>
    </xf>
    <xf numFmtId="10" fontId="9" fillId="0" borderId="5" xfId="0" applyNumberFormat="1" applyFont="1" applyFill="1" applyBorder="1" applyAlignment="1">
      <alignment horizontal="right"/>
    </xf>
    <xf numFmtId="10" fontId="12" fillId="0" borderId="5" xfId="0" applyNumberFormat="1" applyFont="1" applyFill="1" applyBorder="1" applyAlignment="1">
      <alignment horizontal="right"/>
    </xf>
    <xf numFmtId="167" fontId="9" fillId="0" borderId="8" xfId="0" applyNumberFormat="1" applyFont="1" applyFill="1" applyBorder="1" applyAlignment="1">
      <alignment horizontal="right"/>
    </xf>
    <xf numFmtId="3" fontId="5" fillId="4" borderId="10" xfId="0" applyNumberFormat="1" applyFont="1" applyFill="1" applyBorder="1"/>
    <xf numFmtId="164" fontId="9" fillId="0" borderId="10" xfId="2" applyNumberFormat="1" applyFont="1" applyFill="1" applyBorder="1"/>
    <xf numFmtId="0" fontId="9" fillId="0" borderId="0" xfId="0" applyFont="1" applyFill="1"/>
    <xf numFmtId="0" fontId="17" fillId="0" borderId="0" xfId="0" applyFont="1" applyFill="1"/>
    <xf numFmtId="0" fontId="5" fillId="0" borderId="13" xfId="0" applyFont="1" applyBorder="1"/>
    <xf numFmtId="0" fontId="18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9" fillId="0" borderId="9" xfId="0" quotePrefix="1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0" borderId="9" xfId="0" applyFont="1" applyFill="1" applyBorder="1"/>
    <xf numFmtId="0" fontId="9" fillId="0" borderId="11" xfId="0" applyFont="1" applyFill="1" applyBorder="1"/>
    <xf numFmtId="0" fontId="9" fillId="0" borderId="16" xfId="0" applyFont="1" applyFill="1" applyBorder="1"/>
    <xf numFmtId="164" fontId="9" fillId="0" borderId="11" xfId="2" applyNumberFormat="1" applyFont="1" applyFill="1" applyBorder="1"/>
    <xf numFmtId="0" fontId="7" fillId="0" borderId="3" xfId="0" applyFont="1" applyFill="1" applyBorder="1" applyAlignment="1">
      <alignment horizontal="center"/>
    </xf>
    <xf numFmtId="0" fontId="9" fillId="0" borderId="15" xfId="0" applyFont="1" applyFill="1" applyBorder="1"/>
    <xf numFmtId="164" fontId="9" fillId="0" borderId="15" xfId="2" applyNumberFormat="1" applyFont="1" applyFill="1" applyBorder="1"/>
    <xf numFmtId="0" fontId="10" fillId="0" borderId="4" xfId="0" applyFont="1" applyFill="1" applyBorder="1" applyAlignment="1">
      <alignment horizontal="center"/>
    </xf>
    <xf numFmtId="164" fontId="10" fillId="0" borderId="4" xfId="2" applyNumberFormat="1" applyFont="1" applyFill="1" applyBorder="1" applyAlignment="1">
      <alignment horizontal="center"/>
    </xf>
    <xf numFmtId="3" fontId="9" fillId="4" borderId="5" xfId="0" applyNumberFormat="1" applyFont="1" applyFill="1" applyBorder="1"/>
    <xf numFmtId="3" fontId="12" fillId="0" borderId="5" xfId="0" applyNumberFormat="1" applyFont="1" applyFill="1" applyBorder="1"/>
    <xf numFmtId="164" fontId="12" fillId="0" borderId="5" xfId="2" applyNumberFormat="1" applyFont="1" applyFill="1" applyBorder="1"/>
    <xf numFmtId="3" fontId="10" fillId="0" borderId="5" xfId="0" applyNumberFormat="1" applyFont="1" applyFill="1" applyBorder="1"/>
    <xf numFmtId="164" fontId="10" fillId="0" borderId="5" xfId="2" applyNumberFormat="1" applyFont="1" applyFill="1" applyBorder="1"/>
    <xf numFmtId="3" fontId="21" fillId="4" borderId="5" xfId="0" applyNumberFormat="1" applyFont="1" applyFill="1" applyBorder="1"/>
    <xf numFmtId="3" fontId="5" fillId="4" borderId="5" xfId="0" applyNumberFormat="1" applyFont="1" applyFill="1" applyBorder="1"/>
    <xf numFmtId="3" fontId="9" fillId="0" borderId="5" xfId="0" applyNumberFormat="1" applyFont="1" applyFill="1" applyBorder="1"/>
    <xf numFmtId="3" fontId="9" fillId="2" borderId="5" xfId="0" applyNumberFormat="1" applyFont="1" applyFill="1" applyBorder="1"/>
    <xf numFmtId="173" fontId="9" fillId="4" borderId="5" xfId="0" applyNumberFormat="1" applyFont="1" applyFill="1" applyBorder="1"/>
    <xf numFmtId="173" fontId="9" fillId="0" borderId="5" xfId="0" applyNumberFormat="1" applyFont="1" applyFill="1" applyBorder="1"/>
    <xf numFmtId="3" fontId="10" fillId="0" borderId="8" xfId="0" applyNumberFormat="1" applyFont="1" applyFill="1" applyBorder="1"/>
    <xf numFmtId="164" fontId="10" fillId="0" borderId="8" xfId="2" applyNumberFormat="1" applyFont="1" applyFill="1" applyBorder="1"/>
    <xf numFmtId="3" fontId="9" fillId="2" borderId="10" xfId="0" applyNumberFormat="1" applyFont="1" applyFill="1" applyBorder="1"/>
    <xf numFmtId="0" fontId="22" fillId="0" borderId="15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64" fontId="5" fillId="0" borderId="15" xfId="2" applyNumberFormat="1" applyFont="1" applyFill="1" applyBorder="1" applyAlignment="1">
      <alignment horizontal="center"/>
    </xf>
    <xf numFmtId="0" fontId="5" fillId="0" borderId="11" xfId="0" applyFont="1" applyBorder="1"/>
    <xf numFmtId="3" fontId="9" fillId="0" borderId="16" xfId="0" applyNumberFormat="1" applyFont="1" applyFill="1" applyBorder="1" applyAlignment="1">
      <alignment horizontal="center"/>
    </xf>
    <xf numFmtId="3" fontId="9" fillId="0" borderId="16" xfId="0" applyNumberFormat="1" applyFont="1" applyFill="1" applyBorder="1"/>
    <xf numFmtId="164" fontId="9" fillId="0" borderId="16" xfId="2" applyNumberFormat="1" applyFont="1" applyFill="1" applyBorder="1"/>
    <xf numFmtId="164" fontId="5" fillId="0" borderId="0" xfId="2" applyNumberFormat="1" applyFont="1" applyFill="1"/>
    <xf numFmtId="172" fontId="9" fillId="0" borderId="8" xfId="2" applyNumberFormat="1" applyFont="1" applyFill="1" applyBorder="1" applyAlignment="1">
      <alignment horizontal="right"/>
    </xf>
    <xf numFmtId="170" fontId="9" fillId="0" borderId="8" xfId="0" applyNumberFormat="1" applyFont="1" applyFill="1" applyBorder="1" applyAlignment="1">
      <alignment horizontal="right"/>
    </xf>
    <xf numFmtId="164" fontId="8" fillId="0" borderId="0" xfId="2" applyNumberFormat="1" applyFont="1" applyFill="1"/>
    <xf numFmtId="169" fontId="9" fillId="0" borderId="8" xfId="0" applyNumberFormat="1" applyFont="1" applyFill="1" applyBorder="1" applyAlignment="1">
      <alignment horizontal="right"/>
    </xf>
    <xf numFmtId="0" fontId="9" fillId="0" borderId="4" xfId="0" applyFont="1" applyFill="1" applyBorder="1" applyAlignment="1">
      <alignment horizontal="center"/>
    </xf>
    <xf numFmtId="3" fontId="5" fillId="0" borderId="5" xfId="0" applyNumberFormat="1" applyFont="1" applyFill="1" applyBorder="1"/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0" fillId="7" borderId="0" xfId="0" applyFont="1" applyFill="1"/>
    <xf numFmtId="0" fontId="10" fillId="7" borderId="8" xfId="0" applyFont="1" applyFill="1" applyBorder="1" applyAlignment="1">
      <alignment horizontal="center"/>
    </xf>
    <xf numFmtId="172" fontId="9" fillId="7" borderId="8" xfId="2" applyNumberFormat="1" applyFont="1" applyFill="1" applyBorder="1" applyAlignment="1">
      <alignment horizontal="right"/>
    </xf>
    <xf numFmtId="170" fontId="9" fillId="7" borderId="8" xfId="0" applyNumberFormat="1" applyFont="1" applyFill="1" applyBorder="1" applyAlignment="1">
      <alignment horizontal="right"/>
    </xf>
    <xf numFmtId="3" fontId="9" fillId="7" borderId="10" xfId="0" applyNumberFormat="1" applyFont="1" applyFill="1" applyBorder="1"/>
    <xf numFmtId="164" fontId="14" fillId="7" borderId="0" xfId="2" applyNumberFormat="1" applyFont="1" applyFill="1"/>
    <xf numFmtId="3" fontId="10" fillId="7" borderId="5" xfId="0" applyNumberFormat="1" applyFont="1" applyFill="1" applyBorder="1"/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5" fillId="7" borderId="4" xfId="0" quotePrefix="1" applyFont="1" applyFill="1" applyBorder="1" applyAlignment="1">
      <alignment horizontal="center"/>
    </xf>
    <xf numFmtId="0" fontId="9" fillId="7" borderId="8" xfId="0" applyFont="1" applyFill="1" applyBorder="1"/>
    <xf numFmtId="0" fontId="12" fillId="7" borderId="5" xfId="0" applyFont="1" applyFill="1" applyBorder="1" applyAlignment="1">
      <alignment horizontal="center"/>
    </xf>
    <xf numFmtId="3" fontId="12" fillId="7" borderId="5" xfId="0" applyNumberFormat="1" applyFont="1" applyFill="1" applyBorder="1" applyAlignment="1">
      <alignment horizontal="right"/>
    </xf>
    <xf numFmtId="165" fontId="12" fillId="7" borderId="5" xfId="0" applyNumberFormat="1" applyFont="1" applyFill="1" applyBorder="1" applyAlignment="1">
      <alignment horizontal="right"/>
    </xf>
    <xf numFmtId="165" fontId="12" fillId="7" borderId="8" xfId="0" applyNumberFormat="1" applyFont="1" applyFill="1" applyBorder="1" applyAlignment="1">
      <alignment horizontal="right"/>
    </xf>
    <xf numFmtId="172" fontId="12" fillId="7" borderId="8" xfId="2" applyNumberFormat="1" applyFont="1" applyFill="1" applyBorder="1" applyAlignment="1">
      <alignment horizontal="right"/>
    </xf>
    <xf numFmtId="3" fontId="12" fillId="7" borderId="4" xfId="0" applyNumberFormat="1" applyFont="1" applyFill="1" applyBorder="1" applyAlignment="1">
      <alignment horizontal="right"/>
    </xf>
    <xf numFmtId="170" fontId="12" fillId="7" borderId="8" xfId="0" applyNumberFormat="1" applyFont="1" applyFill="1" applyBorder="1" applyAlignment="1">
      <alignment horizontal="right"/>
    </xf>
    <xf numFmtId="0" fontId="12" fillId="7" borderId="5" xfId="0" applyFont="1" applyFill="1" applyBorder="1" applyAlignment="1">
      <alignment horizontal="right"/>
    </xf>
    <xf numFmtId="3" fontId="12" fillId="7" borderId="10" xfId="0" applyNumberFormat="1" applyFont="1" applyFill="1" applyBorder="1"/>
    <xf numFmtId="0" fontId="5" fillId="7" borderId="5" xfId="0" applyFont="1" applyFill="1" applyBorder="1"/>
    <xf numFmtId="3" fontId="10" fillId="7" borderId="5" xfId="0" applyNumberFormat="1" applyFont="1" applyFill="1" applyBorder="1" applyAlignment="1">
      <alignment horizontal="right"/>
    </xf>
    <xf numFmtId="3" fontId="12" fillId="7" borderId="8" xfId="0" applyNumberFormat="1" applyFont="1" applyFill="1" applyBorder="1" applyAlignment="1">
      <alignment horizontal="right"/>
    </xf>
    <xf numFmtId="2" fontId="12" fillId="7" borderId="8" xfId="0" applyNumberFormat="1" applyFont="1" applyFill="1" applyBorder="1" applyAlignment="1">
      <alignment horizontal="right"/>
    </xf>
    <xf numFmtId="3" fontId="10" fillId="7" borderId="12" xfId="0" applyNumberFormat="1" applyFont="1" applyFill="1" applyBorder="1"/>
    <xf numFmtId="2" fontId="12" fillId="7" borderId="5" xfId="0" applyNumberFormat="1" applyFont="1" applyFill="1" applyBorder="1" applyAlignment="1">
      <alignment horizontal="right"/>
    </xf>
    <xf numFmtId="168" fontId="12" fillId="7" borderId="8" xfId="0" applyNumberFormat="1" applyFont="1" applyFill="1" applyBorder="1" applyAlignment="1">
      <alignment horizontal="right"/>
    </xf>
    <xf numFmtId="173" fontId="12" fillId="7" borderId="8" xfId="0" applyNumberFormat="1" applyFont="1" applyFill="1" applyBorder="1"/>
    <xf numFmtId="3" fontId="12" fillId="7" borderId="5" xfId="1" applyNumberFormat="1" applyFont="1" applyFill="1" applyBorder="1"/>
    <xf numFmtId="3" fontId="12" fillId="7" borderId="5" xfId="1" applyNumberFormat="1" applyFont="1" applyFill="1" applyBorder="1" applyAlignment="1">
      <alignment horizontal="right"/>
    </xf>
    <xf numFmtId="10" fontId="12" fillId="7" borderId="8" xfId="2" applyNumberFormat="1" applyFont="1" applyFill="1" applyBorder="1" applyAlignment="1">
      <alignment horizontal="center"/>
    </xf>
    <xf numFmtId="1" fontId="12" fillId="7" borderId="12" xfId="2" applyNumberFormat="1" applyFont="1" applyFill="1" applyBorder="1"/>
    <xf numFmtId="0" fontId="12" fillId="7" borderId="12" xfId="0" applyFont="1" applyFill="1" applyBorder="1"/>
    <xf numFmtId="9" fontId="12" fillId="7" borderId="12" xfId="2" applyFont="1" applyFill="1" applyBorder="1"/>
    <xf numFmtId="9" fontId="12" fillId="7" borderId="8" xfId="2" applyFont="1" applyFill="1" applyBorder="1"/>
    <xf numFmtId="3" fontId="10" fillId="7" borderId="8" xfId="0" applyNumberFormat="1" applyFont="1" applyFill="1" applyBorder="1"/>
    <xf numFmtId="165" fontId="12" fillId="7" borderId="8" xfId="2" applyNumberFormat="1" applyFont="1" applyFill="1" applyBorder="1" applyAlignment="1">
      <alignment horizontal="right"/>
    </xf>
    <xf numFmtId="3" fontId="12" fillId="7" borderId="8" xfId="0" applyNumberFormat="1" applyFont="1" applyFill="1" applyBorder="1"/>
    <xf numFmtId="10" fontId="12" fillId="7" borderId="5" xfId="0" applyNumberFormat="1" applyFont="1" applyFill="1" applyBorder="1" applyAlignment="1">
      <alignment horizontal="right"/>
    </xf>
    <xf numFmtId="167" fontId="12" fillId="7" borderId="8" xfId="0" applyNumberFormat="1" applyFont="1" applyFill="1" applyBorder="1" applyAlignment="1">
      <alignment horizontal="right"/>
    </xf>
    <xf numFmtId="0" fontId="10" fillId="7" borderId="4" xfId="0" applyFont="1" applyFill="1" applyBorder="1" applyAlignment="1">
      <alignment horizontal="center"/>
    </xf>
    <xf numFmtId="3" fontId="12" fillId="7" borderId="5" xfId="0" applyNumberFormat="1" applyFont="1" applyFill="1" applyBorder="1"/>
    <xf numFmtId="173" fontId="12" fillId="7" borderId="5" xfId="0" applyNumberFormat="1" applyFont="1" applyFill="1" applyBorder="1"/>
    <xf numFmtId="3" fontId="6" fillId="7" borderId="5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195"/>
  <sheetViews>
    <sheetView tabSelected="1" zoomScaleNormal="100" workbookViewId="0">
      <pane xSplit="1" ySplit="9" topLeftCell="B129" activePane="bottomRight" state="frozen"/>
      <selection pane="topRight" activeCell="B1" sqref="B1"/>
      <selection pane="bottomLeft" activeCell="A10" sqref="A10"/>
      <selection pane="bottomRight" activeCell="A150" sqref="A150"/>
    </sheetView>
  </sheetViews>
  <sheetFormatPr defaultColWidth="9.109375" defaultRowHeight="14.4" outlineLevelCol="1" x14ac:dyDescent="0.3"/>
  <cols>
    <col min="1" max="1" width="57.33203125" style="12" customWidth="1"/>
    <col min="2" max="2" width="5.6640625" style="9" hidden="1" customWidth="1" outlineLevel="1"/>
    <col min="3" max="3" width="21.33203125" style="12" hidden="1" customWidth="1" outlineLevel="1"/>
    <col min="4" max="4" width="6.44140625" style="12" hidden="1" customWidth="1" outlineLevel="1"/>
    <col min="5" max="5" width="21.33203125" style="12" hidden="1" customWidth="1" outlineLevel="1"/>
    <col min="6" max="6" width="7.33203125" style="12" hidden="1" customWidth="1" outlineLevel="1"/>
    <col min="7" max="7" width="21.33203125" style="12" hidden="1" customWidth="1" outlineLevel="1"/>
    <col min="8" max="8" width="5.33203125" style="1" hidden="1" customWidth="1" outlineLevel="1"/>
    <col min="9" max="9" width="21.33203125" style="12" hidden="1" customWidth="1" outlineLevel="1"/>
    <col min="10" max="10" width="4.6640625" style="12" hidden="1" customWidth="1" outlineLevel="1"/>
    <col min="11" max="11" width="6.33203125" style="2" hidden="1" customWidth="1" outlineLevel="1"/>
    <col min="12" max="12" width="21.33203125" style="12" hidden="1" customWidth="1" outlineLevel="1"/>
    <col min="13" max="13" width="6.33203125" style="13" hidden="1" customWidth="1" outlineLevel="1"/>
    <col min="14" max="14" width="21.33203125" style="12" hidden="1" customWidth="1" outlineLevel="1"/>
    <col min="15" max="15" width="12.44140625" style="13" hidden="1" customWidth="1" outlineLevel="1"/>
    <col min="16" max="16" width="18.6640625" style="12" hidden="1" customWidth="1" outlineLevel="1" collapsed="1"/>
    <col min="17" max="17" width="7.6640625" style="2" hidden="1" customWidth="1" outlineLevel="1"/>
    <col min="18" max="18" width="18.6640625" style="12" customWidth="1" collapsed="1"/>
    <col min="19" max="19" width="7.6640625" style="2" customWidth="1"/>
    <col min="20" max="20" width="18.6640625" style="12" customWidth="1"/>
    <col min="21" max="21" width="7.6640625" style="2" customWidth="1"/>
    <col min="22" max="22" width="18.6640625" style="12" customWidth="1"/>
    <col min="23" max="23" width="7.6640625" style="2" customWidth="1"/>
    <col min="24" max="24" width="18.6640625" style="12" customWidth="1"/>
    <col min="25" max="25" width="7.6640625" style="2" customWidth="1"/>
    <col min="26" max="28" width="18.6640625" style="12" customWidth="1"/>
    <col min="29" max="16384" width="9.109375" style="12"/>
  </cols>
  <sheetData>
    <row r="1" spans="1:31" x14ac:dyDescent="0.3">
      <c r="A1" s="256" t="s">
        <v>151</v>
      </c>
      <c r="R1" s="298" t="s">
        <v>0</v>
      </c>
      <c r="T1" s="298" t="s">
        <v>0</v>
      </c>
      <c r="V1" s="298" t="s">
        <v>0</v>
      </c>
      <c r="X1" s="298" t="s">
        <v>0</v>
      </c>
      <c r="Z1" s="298" t="s">
        <v>0</v>
      </c>
      <c r="AA1" s="298" t="s">
        <v>0</v>
      </c>
      <c r="AB1" s="298" t="s">
        <v>0</v>
      </c>
      <c r="AD1" s="300"/>
      <c r="AE1" s="12" t="s">
        <v>103</v>
      </c>
    </row>
    <row r="2" spans="1:31" x14ac:dyDescent="0.3">
      <c r="B2" s="27"/>
      <c r="C2" s="27"/>
      <c r="D2" s="27"/>
      <c r="E2" s="27"/>
      <c r="F2" s="27"/>
      <c r="J2" s="14"/>
      <c r="K2" s="12"/>
      <c r="O2" s="14"/>
      <c r="Q2" s="4"/>
      <c r="R2" s="299" t="s">
        <v>125</v>
      </c>
      <c r="S2" s="4"/>
      <c r="T2" s="299" t="s">
        <v>145</v>
      </c>
      <c r="U2" s="4"/>
      <c r="V2" s="299" t="s">
        <v>145</v>
      </c>
      <c r="W2" s="4"/>
      <c r="X2" s="299" t="s">
        <v>145</v>
      </c>
      <c r="Y2" s="4"/>
      <c r="Z2" s="299" t="s">
        <v>145</v>
      </c>
      <c r="AA2" s="299" t="s">
        <v>145</v>
      </c>
      <c r="AB2" s="299" t="s">
        <v>145</v>
      </c>
    </row>
    <row r="3" spans="1:31" ht="15" thickBot="1" x14ac:dyDescent="0.35">
      <c r="B3" s="27"/>
      <c r="C3" s="27"/>
      <c r="D3" s="27"/>
      <c r="E3" s="27"/>
      <c r="F3" s="27"/>
      <c r="G3" s="15"/>
      <c r="H3" s="29" t="s">
        <v>1</v>
      </c>
      <c r="I3" s="30"/>
      <c r="J3" s="31"/>
      <c r="K3" s="32"/>
      <c r="L3" s="3"/>
      <c r="M3" s="4"/>
      <c r="N3" s="3"/>
      <c r="O3" s="34"/>
      <c r="P3" s="3"/>
      <c r="Q3" s="36"/>
      <c r="R3" s="264" t="s">
        <v>141</v>
      </c>
      <c r="S3" s="36"/>
      <c r="T3" s="264" t="s">
        <v>146</v>
      </c>
      <c r="U3" s="36"/>
      <c r="V3" s="264" t="s">
        <v>146</v>
      </c>
      <c r="W3" s="36"/>
      <c r="X3" s="264" t="s">
        <v>146</v>
      </c>
      <c r="Y3" s="36"/>
      <c r="Z3" s="264" t="s">
        <v>146</v>
      </c>
      <c r="AA3" s="264" t="s">
        <v>146</v>
      </c>
      <c r="AB3" s="264" t="s">
        <v>146</v>
      </c>
    </row>
    <row r="4" spans="1:31" x14ac:dyDescent="0.3">
      <c r="C4" s="16" t="s">
        <v>3</v>
      </c>
      <c r="E4" s="16" t="s">
        <v>3</v>
      </c>
      <c r="G4" s="16" t="s">
        <v>3</v>
      </c>
      <c r="I4" s="16" t="s">
        <v>3</v>
      </c>
      <c r="J4" s="17"/>
      <c r="K4" s="5"/>
      <c r="L4" s="16" t="s">
        <v>3</v>
      </c>
      <c r="M4" s="17"/>
      <c r="N4" s="16" t="s">
        <v>3</v>
      </c>
      <c r="O4" s="17"/>
      <c r="P4" s="16" t="s">
        <v>3</v>
      </c>
      <c r="Q4" s="5"/>
      <c r="R4" s="16" t="s">
        <v>3</v>
      </c>
      <c r="S4" s="5"/>
      <c r="T4" s="16" t="s">
        <v>3</v>
      </c>
      <c r="U4" s="5"/>
      <c r="V4" s="16" t="s">
        <v>3</v>
      </c>
      <c r="W4" s="5"/>
      <c r="X4" s="16" t="s">
        <v>3</v>
      </c>
      <c r="Y4" s="5"/>
      <c r="Z4" s="16" t="s">
        <v>3</v>
      </c>
      <c r="AA4" s="16" t="s">
        <v>3</v>
      </c>
      <c r="AB4" s="16" t="s">
        <v>3</v>
      </c>
    </row>
    <row r="5" spans="1:31" x14ac:dyDescent="0.3">
      <c r="A5" s="37" t="s">
        <v>4</v>
      </c>
      <c r="C5" s="38">
        <v>2009</v>
      </c>
      <c r="E5" s="38">
        <v>2010</v>
      </c>
      <c r="G5" s="38">
        <v>2011</v>
      </c>
      <c r="I5" s="38">
        <v>2012</v>
      </c>
      <c r="J5" s="39"/>
      <c r="K5" s="40"/>
      <c r="L5" s="38">
        <v>2013</v>
      </c>
      <c r="M5" s="39"/>
      <c r="N5" s="38">
        <v>2014</v>
      </c>
      <c r="O5" s="39"/>
      <c r="P5" s="39">
        <v>2015</v>
      </c>
      <c r="Q5" s="40"/>
      <c r="R5" s="39">
        <v>2016</v>
      </c>
      <c r="S5" s="40"/>
      <c r="T5" s="39">
        <v>2017</v>
      </c>
      <c r="U5" s="40"/>
      <c r="V5" s="307">
        <f>T5+1</f>
        <v>2018</v>
      </c>
      <c r="W5" s="40"/>
      <c r="X5" s="307">
        <f>V5+1</f>
        <v>2019</v>
      </c>
      <c r="Y5" s="40"/>
      <c r="Z5" s="307">
        <f>X5+1</f>
        <v>2020</v>
      </c>
      <c r="AA5" s="307">
        <f t="shared" ref="AA5:AB7" si="0">Z5+1</f>
        <v>2021</v>
      </c>
      <c r="AB5" s="307">
        <f t="shared" si="0"/>
        <v>2022</v>
      </c>
    </row>
    <row r="6" spans="1:31" x14ac:dyDescent="0.3">
      <c r="A6" s="37" t="s">
        <v>5</v>
      </c>
      <c r="C6" s="41">
        <v>2010</v>
      </c>
      <c r="E6" s="41">
        <v>2011</v>
      </c>
      <c r="G6" s="41">
        <v>2012</v>
      </c>
      <c r="I6" s="41">
        <v>2013</v>
      </c>
      <c r="J6" s="42"/>
      <c r="K6" s="43"/>
      <c r="L6" s="41">
        <v>2014</v>
      </c>
      <c r="M6" s="42"/>
      <c r="N6" s="41">
        <v>2015</v>
      </c>
      <c r="O6" s="42"/>
      <c r="P6" s="42">
        <v>2016</v>
      </c>
      <c r="Q6" s="43"/>
      <c r="R6" s="42">
        <v>2017</v>
      </c>
      <c r="S6" s="43"/>
      <c r="T6" s="42">
        <v>2018</v>
      </c>
      <c r="U6" s="43"/>
      <c r="V6" s="308">
        <f>T6+1</f>
        <v>2019</v>
      </c>
      <c r="W6" s="43"/>
      <c r="X6" s="308">
        <f>V6+1</f>
        <v>2020</v>
      </c>
      <c r="Y6" s="43"/>
      <c r="Z6" s="308">
        <f>X6+1</f>
        <v>2021</v>
      </c>
      <c r="AA6" s="308">
        <f t="shared" si="0"/>
        <v>2022</v>
      </c>
      <c r="AB6" s="308">
        <f t="shared" si="0"/>
        <v>2023</v>
      </c>
    </row>
    <row r="7" spans="1:31" x14ac:dyDescent="0.3">
      <c r="A7" s="44" t="s">
        <v>6</v>
      </c>
      <c r="C7" s="45">
        <v>2010</v>
      </c>
      <c r="E7" s="45">
        <v>2011</v>
      </c>
      <c r="G7" s="45">
        <v>2012</v>
      </c>
      <c r="I7" s="45">
        <v>2013</v>
      </c>
      <c r="J7" s="46"/>
      <c r="K7" s="47"/>
      <c r="L7" s="45">
        <v>2014</v>
      </c>
      <c r="M7" s="46"/>
      <c r="N7" s="45">
        <v>2015</v>
      </c>
      <c r="O7" s="46"/>
      <c r="P7" s="46">
        <v>2016</v>
      </c>
      <c r="Q7" s="47"/>
      <c r="R7" s="46">
        <v>2017</v>
      </c>
      <c r="S7" s="47"/>
      <c r="T7" s="46">
        <v>2018</v>
      </c>
      <c r="U7" s="47"/>
      <c r="V7" s="309">
        <f>T7+1</f>
        <v>2019</v>
      </c>
      <c r="W7" s="47"/>
      <c r="X7" s="309">
        <f>V7+1</f>
        <v>2020</v>
      </c>
      <c r="Y7" s="47"/>
      <c r="Z7" s="309">
        <f>X7+1</f>
        <v>2021</v>
      </c>
      <c r="AA7" s="309">
        <f t="shared" si="0"/>
        <v>2022</v>
      </c>
      <c r="AB7" s="309">
        <f t="shared" si="0"/>
        <v>2023</v>
      </c>
    </row>
    <row r="8" spans="1:31" x14ac:dyDescent="0.3">
      <c r="A8" s="48" t="s">
        <v>147</v>
      </c>
      <c r="C8" s="38" t="s">
        <v>7</v>
      </c>
      <c r="E8" s="38" t="s">
        <v>8</v>
      </c>
      <c r="G8" s="38" t="s">
        <v>9</v>
      </c>
      <c r="I8" s="38" t="s">
        <v>10</v>
      </c>
      <c r="J8" s="39"/>
      <c r="K8" s="40"/>
      <c r="L8" s="38" t="s">
        <v>11</v>
      </c>
      <c r="M8" s="39"/>
      <c r="N8" s="49" t="s">
        <v>12</v>
      </c>
      <c r="O8" s="50"/>
      <c r="P8" s="50" t="s">
        <v>13</v>
      </c>
      <c r="Q8" s="51"/>
      <c r="R8" s="50" t="s">
        <v>14</v>
      </c>
      <c r="S8" s="51"/>
      <c r="T8" s="50" t="s">
        <v>15</v>
      </c>
      <c r="U8" s="51"/>
      <c r="V8" s="310" t="s">
        <v>16</v>
      </c>
      <c r="W8" s="51"/>
      <c r="X8" s="310" t="s">
        <v>17</v>
      </c>
      <c r="Y8" s="51"/>
      <c r="Z8" s="310" t="s">
        <v>18</v>
      </c>
      <c r="AA8" s="310" t="s">
        <v>144</v>
      </c>
      <c r="AB8" s="310" t="s">
        <v>152</v>
      </c>
    </row>
    <row r="9" spans="1:31" x14ac:dyDescent="0.3">
      <c r="A9" s="52"/>
      <c r="C9" s="53"/>
      <c r="E9" s="53"/>
      <c r="G9" s="53"/>
      <c r="I9" s="53"/>
      <c r="J9" s="54"/>
      <c r="K9" s="55"/>
      <c r="L9" s="53"/>
      <c r="M9" s="54"/>
      <c r="N9" s="53"/>
      <c r="O9" s="54"/>
      <c r="P9" s="54"/>
      <c r="Q9" s="55"/>
      <c r="R9" s="54"/>
      <c r="S9" s="55"/>
      <c r="T9" s="54"/>
      <c r="U9" s="55"/>
      <c r="V9" s="311"/>
      <c r="W9" s="55"/>
      <c r="X9" s="311"/>
      <c r="Y9" s="55"/>
      <c r="Z9" s="311"/>
      <c r="AA9" s="311"/>
      <c r="AB9" s="311"/>
    </row>
    <row r="10" spans="1:31" x14ac:dyDescent="0.3">
      <c r="A10" s="56"/>
      <c r="C10" s="57" t="s">
        <v>19</v>
      </c>
      <c r="E10" s="57" t="s">
        <v>20</v>
      </c>
      <c r="G10" s="57" t="s">
        <v>21</v>
      </c>
      <c r="I10" s="57" t="s">
        <v>22</v>
      </c>
      <c r="J10" s="58"/>
      <c r="K10" s="59"/>
      <c r="L10" s="57" t="s">
        <v>23</v>
      </c>
      <c r="M10" s="58"/>
      <c r="N10" s="57" t="s">
        <v>24</v>
      </c>
      <c r="O10" s="58"/>
      <c r="P10" s="120" t="s">
        <v>128</v>
      </c>
      <c r="Q10" s="59"/>
      <c r="R10" s="120" t="s">
        <v>131</v>
      </c>
      <c r="S10" s="59"/>
      <c r="T10" s="301" t="s">
        <v>25</v>
      </c>
      <c r="U10" s="59"/>
      <c r="V10" s="301" t="s">
        <v>26</v>
      </c>
      <c r="W10" s="59"/>
      <c r="X10" s="301" t="s">
        <v>27</v>
      </c>
      <c r="Y10" s="59"/>
      <c r="Z10" s="301" t="s">
        <v>28</v>
      </c>
      <c r="AA10" s="301" t="s">
        <v>135</v>
      </c>
      <c r="AB10" s="301" t="s">
        <v>153</v>
      </c>
    </row>
    <row r="11" spans="1:31" x14ac:dyDescent="0.3">
      <c r="A11" s="60" t="s">
        <v>29</v>
      </c>
      <c r="C11" s="41"/>
      <c r="E11" s="61"/>
      <c r="G11" s="62"/>
      <c r="I11" s="62"/>
      <c r="J11" s="63"/>
      <c r="K11" s="64"/>
      <c r="L11" s="61"/>
      <c r="M11" s="65"/>
      <c r="N11" s="41"/>
      <c r="O11" s="42"/>
      <c r="P11" s="42"/>
      <c r="Q11" s="43"/>
      <c r="R11" s="42"/>
      <c r="S11" s="43"/>
      <c r="T11" s="42"/>
      <c r="U11" s="43"/>
      <c r="V11" s="308"/>
      <c r="W11" s="43"/>
      <c r="X11" s="308"/>
      <c r="Y11" s="43"/>
      <c r="Z11" s="308"/>
      <c r="AA11" s="308"/>
      <c r="AB11" s="308"/>
    </row>
    <row r="12" spans="1:31" x14ac:dyDescent="0.3">
      <c r="A12" s="56"/>
      <c r="C12" s="66"/>
      <c r="E12" s="66"/>
      <c r="G12" s="45"/>
      <c r="I12" s="45"/>
      <c r="J12" s="46"/>
      <c r="K12" s="67"/>
      <c r="L12" s="66"/>
      <c r="M12" s="68"/>
      <c r="N12" s="45"/>
      <c r="O12" s="46"/>
      <c r="P12" s="68"/>
      <c r="Q12" s="47"/>
      <c r="R12" s="68"/>
      <c r="S12" s="47"/>
      <c r="T12" s="68"/>
      <c r="U12" s="47"/>
      <c r="V12" s="312"/>
      <c r="W12" s="47"/>
      <c r="X12" s="312"/>
      <c r="Y12" s="47"/>
      <c r="Z12" s="312"/>
      <c r="AA12" s="312"/>
      <c r="AB12" s="312"/>
    </row>
    <row r="13" spans="1:31" x14ac:dyDescent="0.3">
      <c r="A13" s="56" t="s">
        <v>118</v>
      </c>
      <c r="C13" s="69">
        <v>1400000</v>
      </c>
      <c r="E13" s="69">
        <v>1600000</v>
      </c>
      <c r="G13" s="69">
        <v>1700000</v>
      </c>
      <c r="I13" s="69">
        <v>1800000</v>
      </c>
      <c r="J13" s="70"/>
      <c r="K13" s="71"/>
      <c r="L13" s="69">
        <v>2000000</v>
      </c>
      <c r="M13" s="72"/>
      <c r="N13" s="69">
        <v>2275000</v>
      </c>
      <c r="O13" s="70"/>
      <c r="P13" s="70">
        <v>2200000</v>
      </c>
      <c r="Q13" s="73"/>
      <c r="R13" s="70">
        <v>2300000</v>
      </c>
      <c r="S13" s="73"/>
      <c r="T13" s="70">
        <v>2300000</v>
      </c>
      <c r="U13" s="73"/>
      <c r="V13" s="313">
        <f>SUM(T13:T19)</f>
        <v>2300000</v>
      </c>
      <c r="W13" s="73"/>
      <c r="X13" s="313">
        <f>SUM(V13:V19)</f>
        <v>2502110</v>
      </c>
      <c r="Y13" s="73"/>
      <c r="Z13" s="313">
        <f t="shared" ref="Z13" si="1">SUM(X13:X19)</f>
        <v>2691211</v>
      </c>
      <c r="AA13" s="313">
        <f>SUM(Z13:Z19)</f>
        <v>2877090</v>
      </c>
      <c r="AB13" s="313">
        <f>SUM(AA13:AA19)</f>
        <v>3098242</v>
      </c>
    </row>
    <row r="14" spans="1:31" x14ac:dyDescent="0.3">
      <c r="A14" s="56" t="s">
        <v>31</v>
      </c>
      <c r="C14" s="74"/>
      <c r="E14" s="75"/>
      <c r="G14" s="69"/>
      <c r="I14" s="69"/>
      <c r="J14" s="70"/>
      <c r="K14" s="71"/>
      <c r="L14" s="74"/>
      <c r="M14" s="72"/>
      <c r="N14" s="69"/>
      <c r="O14" s="70"/>
      <c r="P14" s="153"/>
      <c r="Q14" s="73"/>
      <c r="R14" s="153"/>
      <c r="S14" s="73"/>
      <c r="T14" s="153"/>
      <c r="U14" s="73"/>
      <c r="V14" s="313"/>
      <c r="W14" s="73"/>
      <c r="X14" s="313"/>
      <c r="Y14" s="73"/>
      <c r="Z14" s="313"/>
      <c r="AA14" s="313"/>
      <c r="AB14" s="313"/>
    </row>
    <row r="15" spans="1:31" x14ac:dyDescent="0.3">
      <c r="A15" s="76" t="s">
        <v>32</v>
      </c>
      <c r="C15" s="69"/>
      <c r="E15" s="75"/>
      <c r="G15" s="69"/>
      <c r="I15" s="75"/>
      <c r="J15" s="72"/>
      <c r="K15" s="71"/>
      <c r="L15" s="74"/>
      <c r="M15" s="72"/>
      <c r="N15" s="69"/>
      <c r="O15" s="70"/>
      <c r="P15" s="153"/>
      <c r="Q15" s="73"/>
      <c r="R15" s="153"/>
      <c r="S15" s="73"/>
      <c r="T15" s="153"/>
      <c r="U15" s="73"/>
      <c r="V15" s="77">
        <v>340135</v>
      </c>
      <c r="W15" s="73"/>
      <c r="X15" s="77">
        <v>316035</v>
      </c>
      <c r="Y15" s="73"/>
      <c r="Z15" s="77">
        <v>305926</v>
      </c>
      <c r="AA15" s="77">
        <v>352619</v>
      </c>
      <c r="AB15" s="77">
        <f>AA15</f>
        <v>352619</v>
      </c>
    </row>
    <row r="16" spans="1:31" x14ac:dyDescent="0.3">
      <c r="A16" s="76" t="s">
        <v>33</v>
      </c>
      <c r="C16" s="69"/>
      <c r="E16" s="75"/>
      <c r="G16" s="69"/>
      <c r="I16" s="75"/>
      <c r="J16" s="72"/>
      <c r="K16" s="71"/>
      <c r="L16" s="74"/>
      <c r="M16" s="72"/>
      <c r="N16" s="69"/>
      <c r="O16" s="70"/>
      <c r="P16" s="153"/>
      <c r="Q16" s="73"/>
      <c r="R16" s="153"/>
      <c r="S16" s="73"/>
      <c r="T16" s="153"/>
      <c r="U16" s="73"/>
      <c r="V16" s="77">
        <v>-23668</v>
      </c>
      <c r="W16" s="73"/>
      <c r="X16" s="77">
        <v>-12577</v>
      </c>
      <c r="Y16" s="73"/>
      <c r="Z16" s="77">
        <v>-5690</v>
      </c>
      <c r="AA16" s="77">
        <v>-17110</v>
      </c>
      <c r="AB16" s="77">
        <f>AA16</f>
        <v>-17110</v>
      </c>
    </row>
    <row r="17" spans="1:28" x14ac:dyDescent="0.3">
      <c r="A17" s="76" t="s">
        <v>34</v>
      </c>
      <c r="C17" s="69"/>
      <c r="E17" s="75"/>
      <c r="G17" s="69"/>
      <c r="I17" s="75"/>
      <c r="J17" s="72"/>
      <c r="K17" s="71"/>
      <c r="L17" s="74"/>
      <c r="M17" s="72"/>
      <c r="N17" s="69"/>
      <c r="O17" s="70"/>
      <c r="P17" s="153"/>
      <c r="Q17" s="73"/>
      <c r="R17" s="153"/>
      <c r="S17" s="73"/>
      <c r="T17" s="153"/>
      <c r="U17" s="73"/>
      <c r="V17" s="77"/>
      <c r="W17" s="73"/>
      <c r="X17" s="77"/>
      <c r="Y17" s="73"/>
      <c r="Z17" s="77"/>
      <c r="AA17" s="77"/>
      <c r="AB17" s="77"/>
    </row>
    <row r="18" spans="1:28" x14ac:dyDescent="0.3">
      <c r="A18" s="76" t="s">
        <v>35</v>
      </c>
      <c r="C18" s="69"/>
      <c r="E18" s="75"/>
      <c r="G18" s="69"/>
      <c r="I18" s="75"/>
      <c r="J18" s="72"/>
      <c r="K18" s="71"/>
      <c r="L18" s="74"/>
      <c r="M18" s="72"/>
      <c r="N18" s="69"/>
      <c r="O18" s="70"/>
      <c r="P18" s="153"/>
      <c r="Q18" s="73"/>
      <c r="R18" s="153"/>
      <c r="S18" s="73"/>
      <c r="T18" s="153"/>
      <c r="U18" s="73"/>
      <c r="V18" s="77">
        <f>-2695-5005</f>
        <v>-7700</v>
      </c>
      <c r="W18" s="73"/>
      <c r="X18" s="77">
        <f>V18</f>
        <v>-7700</v>
      </c>
      <c r="Y18" s="73"/>
      <c r="Z18" s="77">
        <f>X18</f>
        <v>-7700</v>
      </c>
      <c r="AA18" s="77">
        <f>Z18</f>
        <v>-7700</v>
      </c>
      <c r="AB18" s="77">
        <f t="shared" ref="AB18:AB19" si="2">AA18</f>
        <v>-7700</v>
      </c>
    </row>
    <row r="19" spans="1:28" x14ac:dyDescent="0.3">
      <c r="A19" s="56" t="s">
        <v>36</v>
      </c>
      <c r="C19" s="78"/>
      <c r="E19" s="79"/>
      <c r="G19" s="78"/>
      <c r="I19" s="79"/>
      <c r="J19" s="80"/>
      <c r="K19" s="81"/>
      <c r="L19" s="82"/>
      <c r="M19" s="80"/>
      <c r="N19" s="78"/>
      <c r="O19" s="83"/>
      <c r="P19" s="155"/>
      <c r="Q19" s="84"/>
      <c r="R19" s="155"/>
      <c r="S19" s="84"/>
      <c r="T19" s="155"/>
      <c r="U19" s="84"/>
      <c r="V19" s="85">
        <v>-106657</v>
      </c>
      <c r="W19" s="84"/>
      <c r="X19" s="85">
        <f>V19</f>
        <v>-106657</v>
      </c>
      <c r="Y19" s="84"/>
      <c r="Z19" s="85">
        <f>X19</f>
        <v>-106657</v>
      </c>
      <c r="AA19" s="85">
        <f>Z19</f>
        <v>-106657</v>
      </c>
      <c r="AB19" s="85">
        <f t="shared" si="2"/>
        <v>-106657</v>
      </c>
    </row>
    <row r="20" spans="1:28" x14ac:dyDescent="0.3">
      <c r="A20" s="56" t="s">
        <v>122</v>
      </c>
      <c r="C20" s="86">
        <v>0.96753500000000003</v>
      </c>
      <c r="E20" s="86">
        <v>0.96154600000000001</v>
      </c>
      <c r="G20" s="86">
        <v>0.95345100000000005</v>
      </c>
      <c r="I20" s="86">
        <v>0.95927200000000001</v>
      </c>
      <c r="J20" s="87"/>
      <c r="K20" s="71"/>
      <c r="L20" s="88">
        <f>962461349/997330000</f>
        <v>0.96503800046123145</v>
      </c>
      <c r="M20" s="89"/>
      <c r="N20" s="86">
        <f>1154211.157/1180295.025</f>
        <v>0.97790055244874052</v>
      </c>
      <c r="O20" s="87"/>
      <c r="P20" s="87">
        <f>1162234.576/1188424.6</f>
        <v>0.97796240165341564</v>
      </c>
      <c r="Q20" s="73"/>
      <c r="R20" s="87">
        <f>1207497787/1239327400</f>
        <v>0.97431702631604855</v>
      </c>
      <c r="S20" s="73"/>
      <c r="T20" s="87">
        <f>1238307873/1275973300</f>
        <v>0.97048102260446989</v>
      </c>
      <c r="U20" s="73"/>
      <c r="V20" s="314">
        <f>SUM(T20)</f>
        <v>0.97048102260446989</v>
      </c>
      <c r="W20" s="73"/>
      <c r="X20" s="314">
        <f>SUM(V20)</f>
        <v>0.97048102260446989</v>
      </c>
      <c r="Y20" s="73"/>
      <c r="Z20" s="314">
        <f>SUM(X20)</f>
        <v>0.97048102260446989</v>
      </c>
      <c r="AA20" s="314">
        <f t="shared" ref="AA20:AA21" si="3">SUM(Z20)</f>
        <v>0.97048102260446989</v>
      </c>
      <c r="AB20" s="314">
        <f>SUM(AA20)</f>
        <v>0.97048102260446989</v>
      </c>
    </row>
    <row r="21" spans="1:28" x14ac:dyDescent="0.3">
      <c r="A21" s="56" t="s">
        <v>119</v>
      </c>
      <c r="C21" s="90">
        <v>0.45469100000000001</v>
      </c>
      <c r="E21" s="90">
        <v>0.464889</v>
      </c>
      <c r="G21" s="90">
        <v>0.46240399999999998</v>
      </c>
      <c r="I21" s="90">
        <v>0.47619</v>
      </c>
      <c r="J21" s="91"/>
      <c r="K21" s="92"/>
      <c r="L21" s="93">
        <f>997330000/2000000000</f>
        <v>0.49866500000000002</v>
      </c>
      <c r="M21" s="94"/>
      <c r="N21" s="90">
        <f>1180295.025/N13</f>
        <v>0.51881099999999991</v>
      </c>
      <c r="O21" s="91"/>
      <c r="P21" s="91">
        <f>1188424.6/P13</f>
        <v>0.54019300000000003</v>
      </c>
      <c r="Q21" s="84"/>
      <c r="R21" s="91">
        <f>1239327.4/R13</f>
        <v>0.53883799999999993</v>
      </c>
      <c r="S21" s="84"/>
      <c r="T21" s="91">
        <f>1275973300/2300000000</f>
        <v>0.55477100000000001</v>
      </c>
      <c r="U21" s="84"/>
      <c r="V21" s="315">
        <f>SUM(T21)</f>
        <v>0.55477100000000001</v>
      </c>
      <c r="W21" s="84"/>
      <c r="X21" s="315">
        <f>SUM(V21)</f>
        <v>0.55477100000000001</v>
      </c>
      <c r="Y21" s="84"/>
      <c r="Z21" s="315">
        <f>SUM(X21)</f>
        <v>0.55477100000000001</v>
      </c>
      <c r="AA21" s="315">
        <f t="shared" si="3"/>
        <v>0.55477100000000001</v>
      </c>
      <c r="AB21" s="315">
        <f>SUM(AA21)</f>
        <v>0.55477100000000001</v>
      </c>
    </row>
    <row r="22" spans="1:28" x14ac:dyDescent="0.3">
      <c r="A22" s="56" t="s">
        <v>39</v>
      </c>
      <c r="C22" s="69">
        <f>SUM(C13:C19)*C20*C21</f>
        <v>615901.239359</v>
      </c>
      <c r="E22" s="69">
        <f>SUM(E13:E19)*E20*E21</f>
        <v>715219.4534304</v>
      </c>
      <c r="G22" s="69">
        <f t="shared" ref="G22:I22" si="4">SUM(G13:G19)*G20*G21</f>
        <v>749495.24554680008</v>
      </c>
      <c r="I22" s="69">
        <f t="shared" si="4"/>
        <v>822232.32062400004</v>
      </c>
      <c r="J22" s="70"/>
      <c r="K22" s="71"/>
      <c r="L22" s="69">
        <f t="shared" ref="L22:N22" si="5">SUM(L13:L19)*L20*L21</f>
        <v>962461.34900000005</v>
      </c>
      <c r="M22" s="72"/>
      <c r="N22" s="69">
        <f t="shared" si="5"/>
        <v>1154211.1569999997</v>
      </c>
      <c r="O22" s="70"/>
      <c r="P22" s="70">
        <f t="shared" ref="P22:AA22" si="6">SUM(P13:P19)*P20*P21</f>
        <v>1162234.5759999999</v>
      </c>
      <c r="Q22" s="73"/>
      <c r="R22" s="70">
        <f t="shared" ref="R22" si="7">SUM(R13:R19)*R20*R21</f>
        <v>1207497.787</v>
      </c>
      <c r="S22" s="73"/>
      <c r="T22" s="70">
        <f>SUM(T13:T19)*T20*T21</f>
        <v>1238307.8730000001</v>
      </c>
      <c r="U22" s="73"/>
      <c r="V22" s="313">
        <f>SUM(V13:V19)*V20*V21</f>
        <v>1347122.8313530567</v>
      </c>
      <c r="W22" s="73"/>
      <c r="X22" s="313">
        <f t="shared" si="6"/>
        <v>1448933.8126974797</v>
      </c>
      <c r="Y22" s="73"/>
      <c r="Z22" s="313">
        <f t="shared" si="6"/>
        <v>1549010.0862302477</v>
      </c>
      <c r="AA22" s="313">
        <f t="shared" si="6"/>
        <v>1668077.1569822896</v>
      </c>
      <c r="AB22" s="313">
        <f>SUM(AB13:AB19)*AB20*AB21</f>
        <v>1787144.2277343313</v>
      </c>
    </row>
    <row r="23" spans="1:28" x14ac:dyDescent="0.3">
      <c r="A23" s="56" t="s">
        <v>40</v>
      </c>
      <c r="C23" s="78">
        <v>284</v>
      </c>
      <c r="E23" s="78">
        <v>284</v>
      </c>
      <c r="G23" s="78">
        <v>442</v>
      </c>
      <c r="I23" s="69"/>
      <c r="J23" s="70"/>
      <c r="K23" s="71"/>
      <c r="L23" s="69"/>
      <c r="M23" s="72"/>
      <c r="N23" s="69">
        <v>101.197</v>
      </c>
      <c r="O23" s="70"/>
      <c r="P23" s="70">
        <v>620</v>
      </c>
      <c r="Q23" s="73"/>
      <c r="R23" s="70">
        <v>492</v>
      </c>
      <c r="S23" s="73"/>
      <c r="T23" s="70">
        <v>349.452</v>
      </c>
      <c r="U23" s="73"/>
      <c r="V23" s="313"/>
      <c r="W23" s="73"/>
      <c r="X23" s="313"/>
      <c r="Y23" s="73"/>
      <c r="Z23" s="313"/>
      <c r="AA23" s="313"/>
      <c r="AB23" s="313"/>
    </row>
    <row r="24" spans="1:28" x14ac:dyDescent="0.3">
      <c r="A24" s="56" t="s">
        <v>41</v>
      </c>
      <c r="C24" s="69">
        <f>SUM(C22:C23)</f>
        <v>616185.239359</v>
      </c>
      <c r="E24" s="69">
        <f>SUM(E22:E23)</f>
        <v>715503.4534304</v>
      </c>
      <c r="G24" s="69">
        <f>SUM(G22:G23)</f>
        <v>749937.24554680008</v>
      </c>
      <c r="I24" s="69">
        <f t="shared" ref="I24" si="8">SUM(I22)</f>
        <v>822232.32062400004</v>
      </c>
      <c r="J24" s="70"/>
      <c r="K24" s="71"/>
      <c r="L24" s="69">
        <f t="shared" ref="L24" si="9">SUM(L22)</f>
        <v>962461.34900000005</v>
      </c>
      <c r="M24" s="72"/>
      <c r="N24" s="69">
        <f>SUM(N22:N23)</f>
        <v>1154312.3539999996</v>
      </c>
      <c r="O24" s="70"/>
      <c r="P24" s="70">
        <f>SUM(P22:P23)</f>
        <v>1162854.5759999999</v>
      </c>
      <c r="Q24" s="73"/>
      <c r="R24" s="70">
        <f>R22+R23</f>
        <v>1207989.787</v>
      </c>
      <c r="S24" s="73"/>
      <c r="T24" s="70">
        <f>T22+T23</f>
        <v>1238657.3250000002</v>
      </c>
      <c r="U24" s="73"/>
      <c r="V24" s="313">
        <f>SUM(V22)</f>
        <v>1347122.8313530567</v>
      </c>
      <c r="W24" s="73"/>
      <c r="X24" s="313">
        <f t="shared" ref="X24:AA24" si="10">SUM(X22)</f>
        <v>1448933.8126974797</v>
      </c>
      <c r="Y24" s="73"/>
      <c r="Z24" s="313">
        <f t="shared" si="10"/>
        <v>1549010.0862302477</v>
      </c>
      <c r="AA24" s="313">
        <f t="shared" si="10"/>
        <v>1668077.1569822896</v>
      </c>
      <c r="AB24" s="313">
        <f>SUM(AB22)</f>
        <v>1787144.2277343313</v>
      </c>
    </row>
    <row r="25" spans="1:28" x14ac:dyDescent="0.3">
      <c r="A25" s="56" t="s">
        <v>120</v>
      </c>
      <c r="C25" s="69"/>
      <c r="E25" s="69"/>
      <c r="G25" s="69"/>
      <c r="I25" s="69"/>
      <c r="J25" s="70"/>
      <c r="K25" s="71"/>
      <c r="L25" s="69"/>
      <c r="M25" s="72"/>
      <c r="N25" s="69"/>
      <c r="O25" s="70"/>
      <c r="P25" s="70">
        <v>1064023.335</v>
      </c>
      <c r="Q25" s="73"/>
      <c r="R25" s="70">
        <v>1117051.1471780001</v>
      </c>
      <c r="S25" s="73"/>
      <c r="T25" s="70"/>
      <c r="U25" s="73"/>
      <c r="V25" s="313"/>
      <c r="W25" s="73"/>
      <c r="X25" s="313"/>
      <c r="Y25" s="73"/>
      <c r="Z25" s="313"/>
      <c r="AA25" s="313"/>
      <c r="AB25" s="313"/>
    </row>
    <row r="26" spans="1:28" x14ac:dyDescent="0.3">
      <c r="A26" s="56" t="s">
        <v>121</v>
      </c>
      <c r="C26" s="95">
        <f>553299.594/616185</f>
        <v>0.89794395189756326</v>
      </c>
      <c r="E26" s="95">
        <f>SUM(E27/E24)</f>
        <v>0.9021516344963243</v>
      </c>
      <c r="G26" s="95">
        <f>681556573/749937000</f>
        <v>0.90881843808213225</v>
      </c>
      <c r="I26" s="96">
        <f>765508.488/822232</f>
        <v>0.93101276525360244</v>
      </c>
      <c r="J26" s="97"/>
      <c r="K26" s="81"/>
      <c r="L26" s="95">
        <f>898630/L24</f>
        <v>0.93367905208212154</v>
      </c>
      <c r="M26" s="98"/>
      <c r="N26" s="95">
        <f>1070854.593/N24</f>
        <v>0.92769915291056526</v>
      </c>
      <c r="O26" s="98"/>
      <c r="P26" s="292">
        <f>P25/P24</f>
        <v>0.91500980170713975</v>
      </c>
      <c r="Q26" s="71"/>
      <c r="R26" s="292">
        <f>R25/R24</f>
        <v>0.92471903256082744</v>
      </c>
      <c r="S26" s="71"/>
      <c r="T26" s="302">
        <f>R26</f>
        <v>0.92471903256082744</v>
      </c>
      <c r="U26" s="81"/>
      <c r="V26" s="316">
        <f>SUM(T26)</f>
        <v>0.92471903256082744</v>
      </c>
      <c r="W26" s="81"/>
      <c r="X26" s="316">
        <f>SUM(V26)</f>
        <v>0.92471903256082744</v>
      </c>
      <c r="Y26" s="81"/>
      <c r="Z26" s="316">
        <f>SUM(X26)</f>
        <v>0.92471903256082744</v>
      </c>
      <c r="AA26" s="316">
        <f t="shared" ref="AA26" si="11">SUM(Z26)</f>
        <v>0.92471903256082744</v>
      </c>
      <c r="AB26" s="316">
        <f>SUM(AA26)</f>
        <v>0.92471903256082744</v>
      </c>
    </row>
    <row r="27" spans="1:28" x14ac:dyDescent="0.3">
      <c r="A27" s="56" t="s">
        <v>123</v>
      </c>
      <c r="C27" s="69">
        <f>SUM(C24*C26)</f>
        <v>553299.80893096642</v>
      </c>
      <c r="E27" s="69">
        <v>645492.61</v>
      </c>
      <c r="G27" s="69">
        <f t="shared" ref="G27:I27" si="12">SUM(G24*G26)</f>
        <v>681556.79615745938</v>
      </c>
      <c r="I27" s="69">
        <f t="shared" si="12"/>
        <v>765508.78650503687</v>
      </c>
      <c r="J27" s="70"/>
      <c r="K27" s="71"/>
      <c r="L27" s="69">
        <f t="shared" ref="L27:AA27" si="13">SUM(L24*L26)</f>
        <v>898630</v>
      </c>
      <c r="M27" s="72"/>
      <c r="N27" s="69">
        <f t="shared" si="13"/>
        <v>1070854.5930000001</v>
      </c>
      <c r="O27" s="72"/>
      <c r="P27" s="70">
        <f>SUM(P24*P26)</f>
        <v>1064023.335</v>
      </c>
      <c r="R27" s="70">
        <f t="shared" ref="R27" si="14">SUM(R24*R26)</f>
        <v>1117051.1471780001</v>
      </c>
      <c r="T27" s="70">
        <f>SUM(T24*T26)</f>
        <v>1145410.0032483826</v>
      </c>
      <c r="U27" s="71"/>
      <c r="V27" s="313">
        <f>SUM(V24*V26)</f>
        <v>1245710.1213494013</v>
      </c>
      <c r="W27" s="71"/>
      <c r="X27" s="313">
        <f t="shared" si="13"/>
        <v>1339856.6735222847</v>
      </c>
      <c r="Y27" s="71"/>
      <c r="Z27" s="313">
        <f t="shared" si="13"/>
        <v>1432399.1083657986</v>
      </c>
      <c r="AA27" s="313">
        <f t="shared" si="13"/>
        <v>1542502.6948414783</v>
      </c>
      <c r="AB27" s="313">
        <f>SUM(AB24*AB26)</f>
        <v>1652606.2813171579</v>
      </c>
    </row>
    <row r="28" spans="1:28" x14ac:dyDescent="0.3">
      <c r="A28" s="56" t="s">
        <v>43</v>
      </c>
      <c r="C28" s="69">
        <v>0</v>
      </c>
      <c r="E28" s="69">
        <v>0</v>
      </c>
      <c r="G28" s="69">
        <v>0</v>
      </c>
      <c r="I28" s="69">
        <v>0</v>
      </c>
      <c r="J28" s="70"/>
      <c r="K28" s="71"/>
      <c r="L28" s="74">
        <v>0</v>
      </c>
      <c r="M28" s="72"/>
      <c r="N28" s="69">
        <v>0</v>
      </c>
      <c r="O28" s="72"/>
      <c r="P28" s="70">
        <v>0</v>
      </c>
      <c r="Q28" s="71"/>
      <c r="R28" s="70">
        <v>0</v>
      </c>
      <c r="S28" s="71"/>
      <c r="T28" s="70">
        <v>0</v>
      </c>
      <c r="U28" s="71"/>
      <c r="V28" s="313">
        <v>0</v>
      </c>
      <c r="W28" s="71"/>
      <c r="X28" s="313">
        <v>0</v>
      </c>
      <c r="Y28" s="71"/>
      <c r="Z28" s="313">
        <v>0</v>
      </c>
      <c r="AA28" s="313">
        <v>0</v>
      </c>
      <c r="AB28" s="313">
        <v>0</v>
      </c>
    </row>
    <row r="29" spans="1:28" x14ac:dyDescent="0.3">
      <c r="A29" s="56"/>
      <c r="C29" s="99">
        <f>SUM(C27:C28)</f>
        <v>553299.80893096642</v>
      </c>
      <c r="E29" s="99">
        <f>SUM(E27:E28)</f>
        <v>645492.61</v>
      </c>
      <c r="G29" s="99">
        <f t="shared" ref="G29:I29" si="15">SUM(G27:G28)</f>
        <v>681556.79615745938</v>
      </c>
      <c r="I29" s="99">
        <f t="shared" si="15"/>
        <v>765508.78650503687</v>
      </c>
      <c r="J29" s="100"/>
      <c r="K29" s="101"/>
      <c r="L29" s="99">
        <f t="shared" ref="L29:AA29" si="16">SUM(L27:L28)</f>
        <v>898630</v>
      </c>
      <c r="M29" s="102"/>
      <c r="N29" s="99">
        <f t="shared" si="16"/>
        <v>1070854.5930000001</v>
      </c>
      <c r="O29" s="102"/>
      <c r="P29" s="100">
        <f t="shared" si="16"/>
        <v>1064023.335</v>
      </c>
      <c r="Q29" s="101"/>
      <c r="R29" s="100">
        <f t="shared" ref="R29" si="17">SUM(R27:R28)</f>
        <v>1117051.1471780001</v>
      </c>
      <c r="S29" s="101"/>
      <c r="T29" s="100">
        <f>SUM(T27:T28)</f>
        <v>1145410.0032483826</v>
      </c>
      <c r="U29" s="101"/>
      <c r="V29" s="317">
        <f>SUM(V27:V28)</f>
        <v>1245710.1213494013</v>
      </c>
      <c r="W29" s="101"/>
      <c r="X29" s="317">
        <f t="shared" si="16"/>
        <v>1339856.6735222847</v>
      </c>
      <c r="Y29" s="101"/>
      <c r="Z29" s="317">
        <f t="shared" si="16"/>
        <v>1432399.1083657986</v>
      </c>
      <c r="AA29" s="317">
        <f t="shared" si="16"/>
        <v>1542502.6948414783</v>
      </c>
      <c r="AB29" s="317">
        <f>SUM(AB27:AB28)</f>
        <v>1652606.2813171579</v>
      </c>
    </row>
    <row r="30" spans="1:28" x14ac:dyDescent="0.3">
      <c r="A30" s="56" t="s">
        <v>124</v>
      </c>
      <c r="B30" s="103"/>
      <c r="C30" s="104">
        <v>1.2009000000000001E-2</v>
      </c>
      <c r="E30" s="104">
        <v>1.2201999999999999E-2</v>
      </c>
      <c r="G30" s="105">
        <v>1.2663000000000001E-2</v>
      </c>
      <c r="H30" s="106">
        <f>SUM(I30-G30)/G30</f>
        <v>-1.9799564229200275E-2</v>
      </c>
      <c r="I30" s="105">
        <f>+I32/I29</f>
        <v>1.2412278118165638E-2</v>
      </c>
      <c r="J30" s="107"/>
      <c r="K30" s="108">
        <f>SUM(L30-I30)/I30</f>
        <v>1.1914378047644822E-2</v>
      </c>
      <c r="L30" s="105">
        <f>SUM(L32/L29)</f>
        <v>1.2560162692097972E-2</v>
      </c>
      <c r="M30" s="106">
        <f>SUM((N30-L30)/L30)</f>
        <v>-3.3482431633753494E-2</v>
      </c>
      <c r="N30" s="105">
        <f>12999.77053/1070855</f>
        <v>1.2139617903450981E-2</v>
      </c>
      <c r="O30" s="106">
        <f>SUM((P30-N30)/N30)</f>
        <v>-1.8509541639643912E-2</v>
      </c>
      <c r="P30" s="293">
        <f>12677752/1064023335</f>
        <v>1.1914919140377688E-2</v>
      </c>
      <c r="Q30" s="294">
        <f>SUM((R30-P30)/P30)</f>
        <v>5.7933924652931769E-2</v>
      </c>
      <c r="R30" s="293">
        <f>14080649.98/1117051149</f>
        <v>1.2605197168102104E-2</v>
      </c>
      <c r="S30" s="305">
        <v>0.02</v>
      </c>
      <c r="T30" s="303">
        <f>SUM(R30*(1+S30))</f>
        <v>1.2857301111464147E-2</v>
      </c>
      <c r="U30" s="305">
        <v>0</v>
      </c>
      <c r="V30" s="318">
        <f>SUM(T30*(1+U30))</f>
        <v>1.2857301111464147E-2</v>
      </c>
      <c r="W30" s="305">
        <v>0</v>
      </c>
      <c r="X30" s="318">
        <f>SUM(V30*(1+W30))</f>
        <v>1.2857301111464147E-2</v>
      </c>
      <c r="Y30" s="305">
        <v>0.02</v>
      </c>
      <c r="Z30" s="318">
        <f>SUM(X30*(1+Y30))</f>
        <v>1.3114447133693429E-2</v>
      </c>
      <c r="AA30" s="318">
        <f>SUM(Z30*(1+Y30))</f>
        <v>1.3376736076367298E-2</v>
      </c>
      <c r="AB30" s="318">
        <f>SUM(AA30*(1+Y30))</f>
        <v>1.3644270797894644E-2</v>
      </c>
    </row>
    <row r="31" spans="1:28" x14ac:dyDescent="0.3">
      <c r="A31" s="56"/>
      <c r="C31" s="109"/>
      <c r="E31" s="110"/>
      <c r="G31" s="110"/>
      <c r="I31" s="110"/>
      <c r="J31" s="111"/>
      <c r="K31" s="71"/>
      <c r="L31" s="109"/>
      <c r="M31" s="111"/>
      <c r="N31" s="110"/>
      <c r="O31" s="111"/>
      <c r="P31" s="139"/>
      <c r="Q31" s="71"/>
      <c r="R31" s="139"/>
      <c r="S31" s="71"/>
      <c r="T31" s="139"/>
      <c r="U31" s="71"/>
      <c r="V31" s="319"/>
      <c r="W31" s="71"/>
      <c r="X31" s="319"/>
      <c r="Y31" s="71"/>
      <c r="Z31" s="319"/>
      <c r="AA31" s="319"/>
      <c r="AB31" s="319"/>
    </row>
    <row r="32" spans="1:28" ht="15" thickBot="1" x14ac:dyDescent="0.35">
      <c r="A32" s="56" t="s">
        <v>45</v>
      </c>
      <c r="C32" s="112">
        <f>SUM(C29*C30)</f>
        <v>6644.5774054519761</v>
      </c>
      <c r="E32" s="112">
        <f>SUM(E29*E30)</f>
        <v>7876.3008272199995</v>
      </c>
      <c r="G32" s="112">
        <f t="shared" ref="G32" si="18">SUM(G29*G30)</f>
        <v>8630.5537097419092</v>
      </c>
      <c r="I32" s="112">
        <v>9501.7079599999997</v>
      </c>
      <c r="J32" s="113"/>
      <c r="K32" s="114"/>
      <c r="L32" s="112">
        <v>11286.939</v>
      </c>
      <c r="M32" s="113"/>
      <c r="N32" s="112">
        <f t="shared" ref="N32:AA32" si="19">SUM(N29*N30)</f>
        <v>12999.765589175515</v>
      </c>
      <c r="O32" s="113"/>
      <c r="P32" s="141">
        <f t="shared" si="19"/>
        <v>12677.752</v>
      </c>
      <c r="Q32" s="114"/>
      <c r="R32" s="141">
        <f t="shared" ref="R32" si="20">SUM(R29*R30)</f>
        <v>14080.649957033333</v>
      </c>
      <c r="S32" s="114"/>
      <c r="T32" s="304">
        <f>SUM(T29*T30)</f>
        <v>14726.881307847581</v>
      </c>
      <c r="U32" s="114"/>
      <c r="V32" s="320">
        <f>SUM(V29*V30)</f>
        <v>16016.470127787794</v>
      </c>
      <c r="W32" s="114"/>
      <c r="X32" s="320">
        <f t="shared" si="19"/>
        <v>17226.940697680726</v>
      </c>
      <c r="Y32" s="114"/>
      <c r="Z32" s="320">
        <f t="shared" si="19"/>
        <v>18785.122381012872</v>
      </c>
      <c r="AA32" s="320">
        <f t="shared" si="19"/>
        <v>20633.65144597978</v>
      </c>
      <c r="AB32" s="320">
        <f>SUM(AB29*AB30)</f>
        <v>22548.607624592958</v>
      </c>
    </row>
    <row r="33" spans="1:28" ht="15" thickTop="1" x14ac:dyDescent="0.3">
      <c r="A33" s="56"/>
      <c r="C33" s="115"/>
      <c r="E33" s="116"/>
      <c r="F33" s="116"/>
      <c r="G33" s="116"/>
      <c r="I33" s="116"/>
      <c r="J33" s="116"/>
      <c r="K33" s="117"/>
      <c r="L33" s="118"/>
      <c r="M33" s="116"/>
      <c r="N33" s="116"/>
      <c r="O33" s="116"/>
      <c r="P33" s="116"/>
      <c r="Q33" s="117"/>
      <c r="R33" s="116"/>
      <c r="S33" s="117"/>
      <c r="T33" s="116"/>
      <c r="U33" s="117"/>
      <c r="V33" s="116"/>
      <c r="W33" s="117"/>
      <c r="X33" s="116"/>
      <c r="Y33" s="117"/>
      <c r="Z33" s="116"/>
      <c r="AA33" s="116"/>
      <c r="AB33" s="116"/>
    </row>
    <row r="34" spans="1:28" x14ac:dyDescent="0.3">
      <c r="A34" s="119"/>
      <c r="C34" s="57" t="s">
        <v>46</v>
      </c>
      <c r="E34" s="57" t="s">
        <v>20</v>
      </c>
      <c r="G34" s="57" t="s">
        <v>21</v>
      </c>
      <c r="I34" s="57" t="s">
        <v>47</v>
      </c>
      <c r="J34" s="120"/>
      <c r="K34" s="59"/>
      <c r="L34" s="57" t="s">
        <v>48</v>
      </c>
      <c r="M34" s="58"/>
      <c r="N34" s="57" t="s">
        <v>49</v>
      </c>
      <c r="O34" s="58"/>
      <c r="P34" s="120" t="s">
        <v>50</v>
      </c>
      <c r="Q34" s="59"/>
      <c r="R34" s="120" t="s">
        <v>131</v>
      </c>
      <c r="S34" s="59"/>
      <c r="T34" s="120" t="s">
        <v>148</v>
      </c>
      <c r="U34" s="59"/>
      <c r="V34" s="301" t="s">
        <v>26</v>
      </c>
      <c r="W34" s="59"/>
      <c r="X34" s="301" t="s">
        <v>27</v>
      </c>
      <c r="Y34" s="59"/>
      <c r="Z34" s="301" t="s">
        <v>28</v>
      </c>
      <c r="AA34" s="301" t="s">
        <v>135</v>
      </c>
      <c r="AB34" s="301" t="str">
        <f>$AB$10</f>
        <v>2023 Estimate</v>
      </c>
    </row>
    <row r="35" spans="1:28" x14ac:dyDescent="0.3">
      <c r="A35" s="121" t="s">
        <v>51</v>
      </c>
      <c r="C35" s="41"/>
      <c r="E35" s="61"/>
      <c r="G35" s="61"/>
      <c r="I35" s="62"/>
      <c r="J35" s="63"/>
      <c r="K35" s="64"/>
      <c r="L35" s="61"/>
      <c r="M35" s="65"/>
      <c r="N35" s="61"/>
      <c r="O35" s="65"/>
      <c r="P35" s="65"/>
      <c r="Q35" s="64"/>
      <c r="R35" s="65"/>
      <c r="S35" s="64"/>
      <c r="T35" s="65"/>
      <c r="U35" s="64"/>
      <c r="V35" s="321"/>
      <c r="W35" s="64"/>
      <c r="X35" s="321"/>
      <c r="Y35" s="64"/>
      <c r="Z35" s="321"/>
      <c r="AA35" s="321"/>
      <c r="AB35" s="321"/>
    </row>
    <row r="36" spans="1:28" x14ac:dyDescent="0.3">
      <c r="A36" s="119"/>
      <c r="C36" s="61"/>
      <c r="E36" s="61"/>
      <c r="G36" s="61"/>
      <c r="I36" s="62"/>
      <c r="J36" s="63"/>
      <c r="K36" s="64"/>
      <c r="L36" s="61"/>
      <c r="M36" s="65"/>
      <c r="N36" s="61"/>
      <c r="O36" s="65"/>
      <c r="P36" s="65"/>
      <c r="Q36" s="64"/>
      <c r="R36" s="65"/>
      <c r="S36" s="64"/>
      <c r="T36" s="65"/>
      <c r="U36" s="64"/>
      <c r="V36" s="321"/>
      <c r="W36" s="64"/>
      <c r="X36" s="321"/>
      <c r="Y36" s="64"/>
      <c r="Z36" s="321"/>
      <c r="AA36" s="321"/>
      <c r="AB36" s="321"/>
    </row>
    <row r="37" spans="1:28" x14ac:dyDescent="0.3">
      <c r="A37" s="119" t="s">
        <v>30</v>
      </c>
      <c r="C37" s="69">
        <v>1578492</v>
      </c>
      <c r="E37" s="69">
        <v>1699083.2690000001</v>
      </c>
      <c r="G37" s="69">
        <v>1795440.777</v>
      </c>
      <c r="I37" s="69">
        <v>1871167</v>
      </c>
      <c r="J37" s="70"/>
      <c r="K37" s="71"/>
      <c r="L37" s="69">
        <v>1892078.206</v>
      </c>
      <c r="M37" s="72"/>
      <c r="N37" s="69">
        <v>2018725.2420000001</v>
      </c>
      <c r="O37" s="70"/>
      <c r="P37" s="70">
        <v>2098023.2439999999</v>
      </c>
      <c r="Q37" s="73"/>
      <c r="R37" s="70">
        <v>2268109</v>
      </c>
      <c r="S37" s="73"/>
      <c r="T37" s="70">
        <v>2425722.202</v>
      </c>
      <c r="U37" s="73"/>
      <c r="V37" s="313">
        <f>SUM(T37:T42)</f>
        <v>2425722.202</v>
      </c>
      <c r="W37" s="73"/>
      <c r="X37" s="313">
        <f>SUM(V37:V42)</f>
        <v>2627832.202</v>
      </c>
      <c r="Y37" s="73"/>
      <c r="Z37" s="313">
        <f>SUM(X37:X42)</f>
        <v>2816933.202</v>
      </c>
      <c r="AA37" s="313">
        <f>SUM(Z37:Z42)</f>
        <v>3002812.202</v>
      </c>
      <c r="AB37" s="313">
        <f>SUM(AA37:AA42)</f>
        <v>3223964.202</v>
      </c>
    </row>
    <row r="38" spans="1:28" x14ac:dyDescent="0.3">
      <c r="A38" s="119" t="s">
        <v>31</v>
      </c>
      <c r="C38" s="69"/>
      <c r="E38" s="69"/>
      <c r="G38" s="69"/>
      <c r="I38" s="69"/>
      <c r="J38" s="70"/>
      <c r="K38" s="122"/>
      <c r="L38" s="123"/>
      <c r="M38" s="124"/>
      <c r="N38" s="69"/>
      <c r="O38" s="70"/>
      <c r="P38" s="124"/>
      <c r="Q38" s="73"/>
      <c r="R38" s="124"/>
      <c r="S38" s="73"/>
      <c r="T38" s="124"/>
      <c r="U38" s="73"/>
      <c r="V38" s="322"/>
      <c r="W38" s="73"/>
      <c r="X38" s="322"/>
      <c r="Y38" s="73"/>
      <c r="Z38" s="322"/>
      <c r="AA38" s="322"/>
      <c r="AB38" s="322"/>
    </row>
    <row r="39" spans="1:28" x14ac:dyDescent="0.3">
      <c r="A39" s="76" t="s">
        <v>32</v>
      </c>
      <c r="C39" s="69"/>
      <c r="E39" s="125"/>
      <c r="G39" s="74"/>
      <c r="I39" s="125"/>
      <c r="J39" s="126"/>
      <c r="K39" s="127"/>
      <c r="L39" s="125"/>
      <c r="M39" s="126"/>
      <c r="N39" s="69"/>
      <c r="O39" s="70"/>
      <c r="P39" s="153"/>
      <c r="Q39" s="73"/>
      <c r="R39" s="153"/>
      <c r="S39" s="73"/>
      <c r="T39" s="153"/>
      <c r="U39" s="73"/>
      <c r="V39" s="344">
        <f t="shared" ref="V39:AA40" si="21">SUM(V15)</f>
        <v>340135</v>
      </c>
      <c r="W39" s="73"/>
      <c r="X39" s="344">
        <f t="shared" si="21"/>
        <v>316035</v>
      </c>
      <c r="Y39" s="73"/>
      <c r="Z39" s="344">
        <f t="shared" si="21"/>
        <v>305926</v>
      </c>
      <c r="AA39" s="344">
        <f t="shared" si="21"/>
        <v>352619</v>
      </c>
      <c r="AB39" s="344">
        <f>SUM(AB15)</f>
        <v>352619</v>
      </c>
    </row>
    <row r="40" spans="1:28" x14ac:dyDescent="0.3">
      <c r="A40" s="76" t="s">
        <v>33</v>
      </c>
      <c r="C40" s="69"/>
      <c r="E40" s="125"/>
      <c r="G40" s="74"/>
      <c r="I40" s="125"/>
      <c r="J40" s="126"/>
      <c r="K40" s="127"/>
      <c r="L40" s="125"/>
      <c r="M40" s="126"/>
      <c r="N40" s="69"/>
      <c r="O40" s="70"/>
      <c r="P40" s="126"/>
      <c r="Q40" s="73"/>
      <c r="R40" s="126"/>
      <c r="S40" s="73"/>
      <c r="T40" s="126"/>
      <c r="U40" s="73"/>
      <c r="V40" s="344">
        <f t="shared" si="21"/>
        <v>-23668</v>
      </c>
      <c r="W40" s="73"/>
      <c r="X40" s="344">
        <f t="shared" si="21"/>
        <v>-12577</v>
      </c>
      <c r="Y40" s="73"/>
      <c r="Z40" s="344">
        <f t="shared" si="21"/>
        <v>-5690</v>
      </c>
      <c r="AA40" s="344">
        <f t="shared" si="21"/>
        <v>-17110</v>
      </c>
      <c r="AB40" s="344">
        <f>SUM(AB16)</f>
        <v>-17110</v>
      </c>
    </row>
    <row r="41" spans="1:28" x14ac:dyDescent="0.3">
      <c r="A41" s="76" t="s">
        <v>35</v>
      </c>
      <c r="C41" s="69"/>
      <c r="E41" s="125"/>
      <c r="G41" s="74"/>
      <c r="I41" s="125"/>
      <c r="J41" s="126"/>
      <c r="K41" s="127"/>
      <c r="L41" s="125"/>
      <c r="M41" s="126"/>
      <c r="N41" s="69"/>
      <c r="O41" s="70"/>
      <c r="P41" s="126"/>
      <c r="Q41" s="73"/>
      <c r="R41" s="126"/>
      <c r="S41" s="73"/>
      <c r="T41" s="126"/>
      <c r="U41" s="73"/>
      <c r="V41" s="344">
        <f t="shared" ref="V41:AA42" si="22">SUM(V18)</f>
        <v>-7700</v>
      </c>
      <c r="W41" s="73"/>
      <c r="X41" s="344">
        <f t="shared" si="22"/>
        <v>-7700</v>
      </c>
      <c r="Y41" s="73"/>
      <c r="Z41" s="344">
        <f t="shared" si="22"/>
        <v>-7700</v>
      </c>
      <c r="AA41" s="344">
        <f t="shared" si="22"/>
        <v>-7700</v>
      </c>
      <c r="AB41" s="344">
        <f>SUM(AB18)</f>
        <v>-7700</v>
      </c>
    </row>
    <row r="42" spans="1:28" x14ac:dyDescent="0.3">
      <c r="A42" s="56" t="s">
        <v>52</v>
      </c>
      <c r="C42" s="69"/>
      <c r="E42" s="125"/>
      <c r="G42" s="74"/>
      <c r="I42" s="125"/>
      <c r="J42" s="126"/>
      <c r="K42" s="127"/>
      <c r="L42" s="125"/>
      <c r="M42" s="126"/>
      <c r="N42" s="69"/>
      <c r="O42" s="70"/>
      <c r="P42" s="126"/>
      <c r="Q42" s="73"/>
      <c r="R42" s="126"/>
      <c r="S42" s="73"/>
      <c r="T42" s="126"/>
      <c r="U42" s="73"/>
      <c r="V42" s="344">
        <f t="shared" si="22"/>
        <v>-106657</v>
      </c>
      <c r="W42" s="73"/>
      <c r="X42" s="344">
        <f t="shared" si="22"/>
        <v>-106657</v>
      </c>
      <c r="Y42" s="73"/>
      <c r="Z42" s="344">
        <f t="shared" si="22"/>
        <v>-106657</v>
      </c>
      <c r="AA42" s="344">
        <f t="shared" si="22"/>
        <v>-106657</v>
      </c>
      <c r="AB42" s="344">
        <f>SUM(AB19)</f>
        <v>-106657</v>
      </c>
    </row>
    <row r="43" spans="1:28" x14ac:dyDescent="0.3">
      <c r="A43" s="119" t="s">
        <v>53</v>
      </c>
      <c r="C43" s="78"/>
      <c r="E43" s="79"/>
      <c r="G43" s="82"/>
      <c r="I43" s="79"/>
      <c r="J43" s="80"/>
      <c r="K43" s="81"/>
      <c r="L43" s="79"/>
      <c r="M43" s="80"/>
      <c r="N43" s="78"/>
      <c r="O43" s="83"/>
      <c r="P43" s="128" t="s">
        <v>54</v>
      </c>
      <c r="Q43" s="84"/>
      <c r="R43" s="83"/>
      <c r="S43" s="84"/>
      <c r="T43" s="83"/>
      <c r="U43" s="84"/>
      <c r="V43" s="323"/>
      <c r="W43" s="84"/>
      <c r="X43" s="323"/>
      <c r="Y43" s="84"/>
      <c r="Z43" s="323"/>
      <c r="AA43" s="323"/>
      <c r="AB43" s="323"/>
    </row>
    <row r="44" spans="1:28" x14ac:dyDescent="0.3">
      <c r="A44" s="119" t="s">
        <v>37</v>
      </c>
      <c r="C44" s="86">
        <v>1</v>
      </c>
      <c r="E44" s="86">
        <v>1</v>
      </c>
      <c r="G44" s="86">
        <v>1</v>
      </c>
      <c r="I44" s="86">
        <v>1</v>
      </c>
      <c r="J44" s="87"/>
      <c r="K44" s="71"/>
      <c r="L44" s="86">
        <v>1</v>
      </c>
      <c r="M44" s="89"/>
      <c r="N44" s="86">
        <v>1</v>
      </c>
      <c r="O44" s="87"/>
      <c r="P44" s="87">
        <v>1</v>
      </c>
      <c r="Q44" s="73"/>
      <c r="R44" s="87">
        <v>1</v>
      </c>
      <c r="S44" s="73"/>
      <c r="T44" s="87">
        <v>1</v>
      </c>
      <c r="U44" s="73"/>
      <c r="V44" s="314">
        <v>1</v>
      </c>
      <c r="W44" s="73"/>
      <c r="X44" s="314">
        <v>1</v>
      </c>
      <c r="Y44" s="73"/>
      <c r="Z44" s="314">
        <v>1</v>
      </c>
      <c r="AA44" s="314">
        <v>1</v>
      </c>
      <c r="AB44" s="314">
        <v>1</v>
      </c>
    </row>
    <row r="45" spans="1:28" x14ac:dyDescent="0.3">
      <c r="A45" s="119" t="s">
        <v>38</v>
      </c>
      <c r="C45" s="90">
        <v>0.25974900000000001</v>
      </c>
      <c r="E45" s="129">
        <v>0.24714743</v>
      </c>
      <c r="G45" s="93">
        <v>0.24893693</v>
      </c>
      <c r="I45" s="90">
        <f>478010267/1871166525</f>
        <v>0.2554611044038424</v>
      </c>
      <c r="J45" s="91"/>
      <c r="K45" s="92"/>
      <c r="L45" s="90">
        <f>479016601/1892078206</f>
        <v>0.25316955688247061</v>
      </c>
      <c r="M45" s="94"/>
      <c r="N45" s="90">
        <f>515171.974/2018725.242</f>
        <v>0.25519667723063028</v>
      </c>
      <c r="O45" s="91"/>
      <c r="P45" s="130">
        <f>514394.545/2098023.244</f>
        <v>0.24518057484400302</v>
      </c>
      <c r="Q45" s="84"/>
      <c r="R45" s="91">
        <v>0.24651799999999999</v>
      </c>
      <c r="S45" s="84"/>
      <c r="T45" s="91">
        <f>603049041/2425722202</f>
        <v>0.24860597825372915</v>
      </c>
      <c r="U45" s="84"/>
      <c r="V45" s="315">
        <f>SUM(T45)</f>
        <v>0.24860597825372915</v>
      </c>
      <c r="W45" s="84"/>
      <c r="X45" s="315">
        <f>SUM(V45)</f>
        <v>0.24860597825372915</v>
      </c>
      <c r="Y45" s="84"/>
      <c r="Z45" s="315">
        <f>SUM(X45)</f>
        <v>0.24860597825372915</v>
      </c>
      <c r="AA45" s="315">
        <f t="shared" ref="AA45" si="23">SUM(Z45)</f>
        <v>0.24860597825372915</v>
      </c>
      <c r="AB45" s="315">
        <f>SUM(AA45)</f>
        <v>0.24860597825372915</v>
      </c>
    </row>
    <row r="46" spans="1:28" x14ac:dyDescent="0.3">
      <c r="A46" s="119" t="s">
        <v>39</v>
      </c>
      <c r="C46" s="69">
        <f>SUM(C37:C42)*C44*C45</f>
        <v>410011.71850800002</v>
      </c>
      <c r="E46" s="69">
        <f>SUM(E37:E43)*E44*E45</f>
        <v>419924.06328934868</v>
      </c>
      <c r="G46" s="69">
        <f>SUM(G37:G43)*G44*G45</f>
        <v>446951.5150231946</v>
      </c>
      <c r="I46" s="69">
        <f>SUM(I37:I43)*I44*I45</f>
        <v>478010.38834402454</v>
      </c>
      <c r="J46" s="70"/>
      <c r="K46" s="71"/>
      <c r="L46" s="69">
        <f>SUM(L37:L43)*L44*L45</f>
        <v>479016.60099999997</v>
      </c>
      <c r="M46" s="72"/>
      <c r="N46" s="69">
        <f>SUM(N37:N43)*N44*N45</f>
        <v>515171.97399999999</v>
      </c>
      <c r="O46" s="70"/>
      <c r="P46" s="131">
        <f>SUM(P37:P43)*P44*P45</f>
        <v>514394.54499999998</v>
      </c>
      <c r="Q46" s="73"/>
      <c r="R46" s="70">
        <f>SUM(R37:R43)*R44*R45</f>
        <v>559129.69446199993</v>
      </c>
      <c r="S46" s="73"/>
      <c r="T46" s="70">
        <f>SUM(T37:T43)*T44*T45</f>
        <v>603049.04099999997</v>
      </c>
      <c r="U46" s="73"/>
      <c r="V46" s="313">
        <f>SUM(V37:V43)*V44*V45</f>
        <v>653294.7952648612</v>
      </c>
      <c r="W46" s="73"/>
      <c r="X46" s="313">
        <f>SUM(X37:X43)*X44*X45</f>
        <v>700306.43435861962</v>
      </c>
      <c r="Y46" s="73"/>
      <c r="Z46" s="313">
        <f>SUM(Z37:Z43)*Z44*Z45</f>
        <v>746517.06499044457</v>
      </c>
      <c r="AA46" s="313">
        <f>SUM(AA37:AA43)*AA44*AA45</f>
        <v>801496.77429321327</v>
      </c>
      <c r="AB46" s="313">
        <f>SUM(AB37:AB43)*AB44*AB45</f>
        <v>856476.48359598196</v>
      </c>
    </row>
    <row r="47" spans="1:28" x14ac:dyDescent="0.3">
      <c r="A47" s="119" t="s">
        <v>40</v>
      </c>
      <c r="C47" s="78">
        <f>(5887+8589+229+382)*-1</f>
        <v>-15087</v>
      </c>
      <c r="E47" s="78">
        <f>-3975.631-8936.384-222.924-283</f>
        <v>-13417.939</v>
      </c>
      <c r="G47" s="78">
        <f>-10488.681-9022.891-264.554-322.957</f>
        <v>-20099.082999999999</v>
      </c>
      <c r="I47" s="78">
        <f>-8904.767-211.228-231.129</f>
        <v>-9347.1239999999998</v>
      </c>
      <c r="J47" s="83"/>
      <c r="K47" s="81"/>
      <c r="L47" s="78">
        <f>-8573.011-238.474-810.181</f>
        <v>-9621.6660000000011</v>
      </c>
      <c r="M47" s="80"/>
      <c r="N47" s="78">
        <f>-8697.667-262.431-1000-301.639</f>
        <v>-10261.736999999999</v>
      </c>
      <c r="O47" s="83"/>
      <c r="P47" s="132">
        <f>-7890.157-307.219-1000-443.168</f>
        <v>-9640.5439999999999</v>
      </c>
      <c r="Q47" s="84"/>
      <c r="R47" s="83">
        <f>-9592-366</f>
        <v>-9958</v>
      </c>
      <c r="S47" s="84"/>
      <c r="T47" s="83">
        <f>-16983-10609-329-900-381-1</f>
        <v>-29203</v>
      </c>
      <c r="U47" s="84"/>
      <c r="V47" s="323">
        <f>SUM(T47)</f>
        <v>-29203</v>
      </c>
      <c r="W47" s="84"/>
      <c r="X47" s="323">
        <f>SUM(V47)</f>
        <v>-29203</v>
      </c>
      <c r="Y47" s="84"/>
      <c r="Z47" s="323">
        <f>SUM(X47)</f>
        <v>-29203</v>
      </c>
      <c r="AA47" s="323">
        <f t="shared" ref="AA47" si="24">SUM(Z47)</f>
        <v>-29203</v>
      </c>
      <c r="AB47" s="323">
        <f>SUM(AA47)</f>
        <v>-29203</v>
      </c>
    </row>
    <row r="48" spans="1:28" x14ac:dyDescent="0.3">
      <c r="A48" s="119" t="s">
        <v>41</v>
      </c>
      <c r="C48" s="69">
        <f>SUM(C46:C47)</f>
        <v>394924.71850800002</v>
      </c>
      <c r="E48" s="69">
        <f>SUM(E46:E47)</f>
        <v>406506.12428934866</v>
      </c>
      <c r="G48" s="69">
        <f>SUM(G46:G47)</f>
        <v>426852.43202319462</v>
      </c>
      <c r="I48" s="69">
        <f>SUM(I46:I47)</f>
        <v>468663.26434402453</v>
      </c>
      <c r="J48" s="70"/>
      <c r="K48" s="71"/>
      <c r="L48" s="69">
        <f t="shared" ref="L48:AA48" si="25">SUM(L46:L47)</f>
        <v>469394.93499999994</v>
      </c>
      <c r="M48" s="72"/>
      <c r="N48" s="69">
        <f t="shared" si="25"/>
        <v>504910.23699999996</v>
      </c>
      <c r="O48" s="70"/>
      <c r="P48" s="70">
        <f t="shared" si="25"/>
        <v>504754.00099999999</v>
      </c>
      <c r="Q48" s="73"/>
      <c r="R48" s="70">
        <f>SUM(R46:R47)</f>
        <v>549171.69446199993</v>
      </c>
      <c r="S48" s="73"/>
      <c r="T48" s="70">
        <f t="shared" si="25"/>
        <v>573846.04099999997</v>
      </c>
      <c r="U48" s="73"/>
      <c r="V48" s="313">
        <f>SUM(V46:V47)</f>
        <v>624091.7952648612</v>
      </c>
      <c r="W48" s="73"/>
      <c r="X48" s="313">
        <f t="shared" si="25"/>
        <v>671103.43435861962</v>
      </c>
      <c r="Y48" s="73"/>
      <c r="Z48" s="313">
        <f t="shared" si="25"/>
        <v>717314.06499044457</v>
      </c>
      <c r="AA48" s="313">
        <f t="shared" si="25"/>
        <v>772293.77429321327</v>
      </c>
      <c r="AB48" s="313">
        <f>SUM(AB46:AB47)</f>
        <v>827273.48359598196</v>
      </c>
    </row>
    <row r="49" spans="1:28" x14ac:dyDescent="0.3">
      <c r="A49" s="119" t="s">
        <v>55</v>
      </c>
      <c r="C49" s="133">
        <v>1</v>
      </c>
      <c r="E49" s="133">
        <v>1</v>
      </c>
      <c r="G49" s="133">
        <v>1</v>
      </c>
      <c r="I49" s="133">
        <v>1</v>
      </c>
      <c r="J49" s="134"/>
      <c r="K49" s="81"/>
      <c r="L49" s="133">
        <v>1</v>
      </c>
      <c r="M49" s="135"/>
      <c r="N49" s="133">
        <v>1</v>
      </c>
      <c r="O49" s="134"/>
      <c r="P49" s="134">
        <v>1</v>
      </c>
      <c r="Q49" s="84"/>
      <c r="R49" s="134">
        <v>1</v>
      </c>
      <c r="S49" s="84"/>
      <c r="T49" s="134">
        <v>1</v>
      </c>
      <c r="U49" s="84"/>
      <c r="V49" s="324">
        <v>1</v>
      </c>
      <c r="W49" s="84"/>
      <c r="X49" s="324">
        <v>1</v>
      </c>
      <c r="Y49" s="84"/>
      <c r="Z49" s="324">
        <v>1</v>
      </c>
      <c r="AA49" s="324">
        <v>1</v>
      </c>
      <c r="AB49" s="324">
        <v>1</v>
      </c>
    </row>
    <row r="50" spans="1:28" x14ac:dyDescent="0.3">
      <c r="A50" s="119" t="s">
        <v>42</v>
      </c>
      <c r="C50" s="69">
        <f>SUM(C48*C49)</f>
        <v>394924.71850800002</v>
      </c>
      <c r="E50" s="69">
        <f>SUM(E48*E49)</f>
        <v>406506.12428934866</v>
      </c>
      <c r="G50" s="69">
        <f t="shared" ref="G50:I50" si="26">SUM(G48*G49)</f>
        <v>426852.43202319462</v>
      </c>
      <c r="I50" s="69">
        <f t="shared" si="26"/>
        <v>468663.26434402453</v>
      </c>
      <c r="J50" s="70"/>
      <c r="K50" s="71"/>
      <c r="L50" s="69">
        <f t="shared" ref="L50:AA50" si="27">SUM(L48*L49)</f>
        <v>469394.93499999994</v>
      </c>
      <c r="M50" s="72"/>
      <c r="N50" s="69">
        <f t="shared" si="27"/>
        <v>504910.23699999996</v>
      </c>
      <c r="O50" s="70"/>
      <c r="P50" s="70">
        <f t="shared" si="27"/>
        <v>504754.00099999999</v>
      </c>
      <c r="Q50" s="73"/>
      <c r="R50" s="70">
        <f>SUM(R48*R49)</f>
        <v>549171.69446199993</v>
      </c>
      <c r="S50" s="73"/>
      <c r="T50" s="70">
        <f t="shared" si="27"/>
        <v>573846.04099999997</v>
      </c>
      <c r="U50" s="73"/>
      <c r="V50" s="313">
        <f>SUM(V48*V49)</f>
        <v>624091.7952648612</v>
      </c>
      <c r="W50" s="73"/>
      <c r="X50" s="313">
        <f t="shared" si="27"/>
        <v>671103.43435861962</v>
      </c>
      <c r="Y50" s="73"/>
      <c r="Z50" s="313">
        <f t="shared" si="27"/>
        <v>717314.06499044457</v>
      </c>
      <c r="AA50" s="313">
        <f t="shared" si="27"/>
        <v>772293.77429321327</v>
      </c>
      <c r="AB50" s="313">
        <f>SUM(AB48*AB49)</f>
        <v>827273.48359598196</v>
      </c>
    </row>
    <row r="51" spans="1:28" x14ac:dyDescent="0.3">
      <c r="A51" s="119" t="s">
        <v>44</v>
      </c>
      <c r="B51" s="108"/>
      <c r="C51" s="105">
        <f>3829943.98/394925312</f>
        <v>9.697894421110187E-3</v>
      </c>
      <c r="D51" s="136">
        <f>SUM(E51-C51)/E51</f>
        <v>9.0569557305089754E-2</v>
      </c>
      <c r="E51" s="105">
        <f>4334861/406506236</f>
        <v>1.06637011098644E-2</v>
      </c>
      <c r="F51" s="136">
        <f>SUM(G51-E51)/G51</f>
        <v>2.9513914282453545E-2</v>
      </c>
      <c r="G51" s="105">
        <v>1.0988E-2</v>
      </c>
      <c r="H51" s="108">
        <f>SUM(I51-G51)/G51</f>
        <v>4.0654360318626757E-2</v>
      </c>
      <c r="I51" s="105">
        <f>5359027.18/468663143</f>
        <v>1.143471011118107E-2</v>
      </c>
      <c r="J51" s="137"/>
      <c r="K51" s="108">
        <f>SUM(L51-I51)/I51</f>
        <v>1.3665332452170083E-2</v>
      </c>
      <c r="L51" s="105">
        <f>5440.743/469395</f>
        <v>1.159096922634455E-2</v>
      </c>
      <c r="M51" s="106">
        <f>SUM((N51-L51)/L51)</f>
        <v>-2.3012975508219759E-2</v>
      </c>
      <c r="N51" s="105">
        <f>5717.71522/504910</f>
        <v>1.1324226535422154E-2</v>
      </c>
      <c r="O51" s="138">
        <f>SUM(P53-N53)/N53</f>
        <v>-7.4419402637072741E-3</v>
      </c>
      <c r="P51" s="293">
        <f>5675.167/504754.002</f>
        <v>1.1243431409187718E-2</v>
      </c>
      <c r="Q51" s="294">
        <f>SUM((R51-P51)/P51)</f>
        <v>-6.845880646011303E-3</v>
      </c>
      <c r="R51" s="293">
        <f>6132.30388/R50</f>
        <v>1.1166460219708805E-2</v>
      </c>
      <c r="S51" s="294">
        <f>SUM((T51-R51)/R51)</f>
        <v>-3.2217407708011639E-2</v>
      </c>
      <c r="T51" s="293">
        <f>6201.38535/T50</f>
        <v>1.0806705818155153E-2</v>
      </c>
      <c r="U51" s="305">
        <f>$U$30</f>
        <v>0</v>
      </c>
      <c r="V51" s="318">
        <f>SUM(T51*(1+U51))</f>
        <v>1.0806705818155153E-2</v>
      </c>
      <c r="W51" s="305">
        <f>$W$30</f>
        <v>0</v>
      </c>
      <c r="X51" s="318">
        <f>SUM(V51*(1+W51))</f>
        <v>1.0806705818155153E-2</v>
      </c>
      <c r="Y51" s="305">
        <f>$Y$30</f>
        <v>0.02</v>
      </c>
      <c r="Z51" s="318">
        <f>SUM(X51*(1+Y51))</f>
        <v>1.1022839934518256E-2</v>
      </c>
      <c r="AA51" s="318">
        <f>SUM(Z51*(1+Y51))</f>
        <v>1.124329673320862E-2</v>
      </c>
      <c r="AB51" s="318">
        <f>SUM(AA51*(1+Y51))</f>
        <v>1.1468162667872792E-2</v>
      </c>
    </row>
    <row r="52" spans="1:28" x14ac:dyDescent="0.3">
      <c r="A52" s="119"/>
      <c r="C52" s="109"/>
      <c r="E52" s="110"/>
      <c r="G52" s="110"/>
      <c r="I52" s="110"/>
      <c r="J52" s="139"/>
      <c r="K52" s="71"/>
      <c r="L52" s="110"/>
      <c r="M52" s="111"/>
      <c r="N52" s="110"/>
      <c r="O52" s="111"/>
      <c r="P52" s="139"/>
      <c r="Q52" s="71"/>
      <c r="R52" s="139"/>
      <c r="S52" s="71"/>
      <c r="T52" s="111"/>
      <c r="U52" s="71"/>
      <c r="V52" s="319"/>
      <c r="W52" s="71"/>
      <c r="X52" s="319"/>
      <c r="Y52" s="71"/>
      <c r="Z52" s="319"/>
      <c r="AA52" s="319"/>
      <c r="AB52" s="319"/>
    </row>
    <row r="53" spans="1:28" ht="15" thickBot="1" x14ac:dyDescent="0.35">
      <c r="A53" s="140" t="s">
        <v>45</v>
      </c>
      <c r="C53" s="112">
        <f>SUM(C50*C51)</f>
        <v>3829.9382243772443</v>
      </c>
      <c r="E53" s="112">
        <f>SUM(E50*E51)</f>
        <v>4334.8598087510027</v>
      </c>
      <c r="G53" s="112">
        <f t="shared" ref="G53:I53" si="28">SUM(G50*G51)</f>
        <v>4690.254523070862</v>
      </c>
      <c r="I53" s="112">
        <f t="shared" si="28"/>
        <v>5359.0285675337436</v>
      </c>
      <c r="J53" s="141"/>
      <c r="K53" s="114"/>
      <c r="L53" s="112">
        <f t="shared" ref="L53:AA53" si="29">SUM(L50*L51)</f>
        <v>5440.7422465869995</v>
      </c>
      <c r="M53" s="113"/>
      <c r="N53" s="112">
        <f t="shared" si="29"/>
        <v>5717.717903841688</v>
      </c>
      <c r="O53" s="113"/>
      <c r="P53" s="141">
        <f t="shared" si="29"/>
        <v>5675.1669887565686</v>
      </c>
      <c r="Q53" s="114"/>
      <c r="R53" s="141">
        <f>SUM(R50*R51)</f>
        <v>6132.3038800000004</v>
      </c>
      <c r="S53" s="114"/>
      <c r="T53" s="141">
        <f>SUM(T50*T51)</f>
        <v>6201.3853499999996</v>
      </c>
      <c r="U53" s="114"/>
      <c r="V53" s="320">
        <f>SUM(V50*V51)</f>
        <v>6744.3764349516696</v>
      </c>
      <c r="W53" s="114"/>
      <c r="X53" s="320">
        <f>SUM(X50*X51)</f>
        <v>7252.4173886671997</v>
      </c>
      <c r="Y53" s="114"/>
      <c r="Z53" s="320">
        <f t="shared" si="29"/>
        <v>7906.8381211682963</v>
      </c>
      <c r="AA53" s="320">
        <f t="shared" si="29"/>
        <v>8683.1280695882397</v>
      </c>
      <c r="AB53" s="320">
        <f>SUM(AB50*AB51)</f>
        <v>9487.3068806965148</v>
      </c>
    </row>
    <row r="54" spans="1:28" ht="15" thickTop="1" x14ac:dyDescent="0.3">
      <c r="A54" s="142"/>
      <c r="C54" s="143"/>
      <c r="E54" s="144"/>
      <c r="F54" s="144"/>
      <c r="G54" s="144"/>
      <c r="I54" s="144"/>
      <c r="J54" s="144"/>
      <c r="K54" s="145"/>
      <c r="L54" s="146"/>
      <c r="M54" s="144"/>
      <c r="N54" s="144"/>
      <c r="O54" s="144"/>
      <c r="P54" s="144"/>
      <c r="Q54" s="145"/>
      <c r="R54" s="144"/>
      <c r="S54" s="145"/>
      <c r="T54" s="144"/>
      <c r="U54" s="145"/>
      <c r="V54" s="144"/>
      <c r="W54" s="145"/>
      <c r="X54" s="144"/>
      <c r="Y54" s="145"/>
      <c r="Z54" s="144"/>
      <c r="AA54" s="144"/>
      <c r="AB54" s="144"/>
    </row>
    <row r="55" spans="1:28" x14ac:dyDescent="0.3">
      <c r="A55" s="56"/>
      <c r="C55" s="57" t="s">
        <v>46</v>
      </c>
      <c r="E55" s="57" t="s">
        <v>20</v>
      </c>
      <c r="G55" s="57" t="s">
        <v>21</v>
      </c>
      <c r="I55" s="57" t="s">
        <v>47</v>
      </c>
      <c r="J55" s="120"/>
      <c r="K55" s="59"/>
      <c r="L55" s="57" t="s">
        <v>48</v>
      </c>
      <c r="M55" s="58"/>
      <c r="N55" s="57" t="s">
        <v>49</v>
      </c>
      <c r="O55" s="58"/>
      <c r="P55" s="120" t="s">
        <v>50</v>
      </c>
      <c r="Q55" s="59"/>
      <c r="R55" s="120" t="s">
        <v>131</v>
      </c>
      <c r="S55" s="59"/>
      <c r="T55" s="120" t="s">
        <v>149</v>
      </c>
      <c r="U55" s="59"/>
      <c r="V55" s="301" t="s">
        <v>26</v>
      </c>
      <c r="W55" s="59"/>
      <c r="X55" s="301" t="s">
        <v>27</v>
      </c>
      <c r="Y55" s="59"/>
      <c r="Z55" s="301" t="s">
        <v>28</v>
      </c>
      <c r="AA55" s="301" t="s">
        <v>135</v>
      </c>
      <c r="AB55" s="301" t="str">
        <f>$AB$10</f>
        <v>2023 Estimate</v>
      </c>
    </row>
    <row r="56" spans="1:28" x14ac:dyDescent="0.3">
      <c r="A56" s="60" t="s">
        <v>56</v>
      </c>
      <c r="C56" s="45" t="s">
        <v>57</v>
      </c>
      <c r="E56" s="45" t="s">
        <v>57</v>
      </c>
      <c r="G56" s="45" t="s">
        <v>57</v>
      </c>
      <c r="I56" s="41" t="s">
        <v>57</v>
      </c>
      <c r="J56" s="42"/>
      <c r="K56" s="67"/>
      <c r="L56" s="41" t="s">
        <v>57</v>
      </c>
      <c r="M56" s="68"/>
      <c r="N56" s="41" t="s">
        <v>57</v>
      </c>
      <c r="O56" s="42"/>
      <c r="P56" s="42" t="s">
        <v>57</v>
      </c>
      <c r="Q56" s="43"/>
      <c r="R56" s="42" t="s">
        <v>57</v>
      </c>
      <c r="S56" s="43"/>
      <c r="T56" s="42" t="s">
        <v>57</v>
      </c>
      <c r="U56" s="43"/>
      <c r="V56" s="312" t="s">
        <v>57</v>
      </c>
      <c r="W56" s="43"/>
      <c r="X56" s="312" t="s">
        <v>57</v>
      </c>
      <c r="Y56" s="43"/>
      <c r="Z56" s="312" t="s">
        <v>57</v>
      </c>
      <c r="AA56" s="312" t="s">
        <v>57</v>
      </c>
      <c r="AB56" s="312" t="s">
        <v>57</v>
      </c>
    </row>
    <row r="57" spans="1:28" x14ac:dyDescent="0.3">
      <c r="A57" s="147" t="s">
        <v>127</v>
      </c>
      <c r="C57" s="148">
        <v>2200000</v>
      </c>
      <c r="D57" s="142"/>
      <c r="E57" s="148">
        <v>2320000</v>
      </c>
      <c r="G57" s="148">
        <v>2600000</v>
      </c>
      <c r="I57" s="148">
        <v>2700000</v>
      </c>
      <c r="J57" s="149"/>
      <c r="K57" s="150"/>
      <c r="L57" s="148">
        <v>2973000</v>
      </c>
      <c r="M57" s="151"/>
      <c r="N57" s="148">
        <v>3318000</v>
      </c>
      <c r="O57" s="149"/>
      <c r="P57" s="149">
        <v>3431000</v>
      </c>
      <c r="Q57" s="152"/>
      <c r="R57" s="149">
        <v>3761000</v>
      </c>
      <c r="S57" s="152"/>
      <c r="T57" s="149">
        <v>4198000</v>
      </c>
      <c r="U57" s="152"/>
      <c r="V57" s="325">
        <f>T57</f>
        <v>4198000</v>
      </c>
      <c r="W57" s="152"/>
      <c r="X57" s="325">
        <f>SUM(V57:V60)</f>
        <v>4469918</v>
      </c>
      <c r="Y57" s="152"/>
      <c r="Z57" s="325">
        <f>SUM(X57:X60)</f>
        <v>4726910</v>
      </c>
      <c r="AA57" s="325">
        <f>SUM(Z57:Z60)</f>
        <v>4964930</v>
      </c>
      <c r="AB57" s="325">
        <f>SUM(AA57:AA60)</f>
        <v>5249985</v>
      </c>
    </row>
    <row r="58" spans="1:28" x14ac:dyDescent="0.3">
      <c r="A58" s="56" t="s">
        <v>139</v>
      </c>
      <c r="C58" s="69">
        <v>1980000</v>
      </c>
      <c r="E58" s="69">
        <v>2088000</v>
      </c>
      <c r="G58" s="69">
        <v>2340000</v>
      </c>
      <c r="I58" s="69">
        <v>2430000</v>
      </c>
      <c r="J58" s="70"/>
      <c r="K58" s="71"/>
      <c r="L58" s="69">
        <v>2676000</v>
      </c>
      <c r="M58" s="72"/>
      <c r="N58" s="69">
        <v>2987000</v>
      </c>
      <c r="O58" s="70"/>
      <c r="P58" s="70">
        <v>3088000</v>
      </c>
      <c r="Q58" s="73"/>
      <c r="R58" s="70">
        <v>3385000</v>
      </c>
      <c r="S58" s="73"/>
      <c r="T58" s="70">
        <v>3778000</v>
      </c>
      <c r="U58" s="73"/>
      <c r="V58" s="313"/>
      <c r="W58" s="73"/>
      <c r="X58" s="313"/>
      <c r="Y58" s="73"/>
      <c r="Z58" s="313"/>
      <c r="AA58" s="313"/>
      <c r="AB58" s="313"/>
    </row>
    <row r="59" spans="1:28" x14ac:dyDescent="0.3">
      <c r="A59" s="56" t="s">
        <v>58</v>
      </c>
      <c r="C59" s="69"/>
      <c r="E59" s="123"/>
      <c r="G59" s="74"/>
      <c r="I59" s="69"/>
      <c r="J59" s="70"/>
      <c r="K59" s="122"/>
      <c r="L59" s="69"/>
      <c r="M59" s="124"/>
      <c r="N59" s="69"/>
      <c r="O59" s="70"/>
      <c r="P59" s="70"/>
      <c r="Q59" s="73"/>
      <c r="R59" s="70"/>
      <c r="S59" s="73"/>
      <c r="T59" s="70"/>
      <c r="U59" s="73"/>
      <c r="V59" s="322">
        <f>SUM(V15+V118)</f>
        <v>409152</v>
      </c>
      <c r="W59" s="73"/>
      <c r="X59" s="322">
        <f>SUM(X15+X118)</f>
        <v>394226</v>
      </c>
      <c r="Y59" s="73"/>
      <c r="Z59" s="322">
        <f>SUM(Z15+Z118)</f>
        <v>375254</v>
      </c>
      <c r="AA59" s="322">
        <f>SUM(AA15+AA118)</f>
        <v>422289</v>
      </c>
      <c r="AB59" s="322">
        <f>SUM(AB15+AB118)</f>
        <v>422289</v>
      </c>
    </row>
    <row r="60" spans="1:28" x14ac:dyDescent="0.3">
      <c r="A60" s="56" t="s">
        <v>52</v>
      </c>
      <c r="C60" s="69"/>
      <c r="E60" s="75"/>
      <c r="G60" s="74"/>
      <c r="I60" s="74"/>
      <c r="J60" s="153"/>
      <c r="K60" s="71"/>
      <c r="L60" s="69"/>
      <c r="M60" s="72"/>
      <c r="N60" s="69"/>
      <c r="O60" s="70"/>
      <c r="P60" s="70"/>
      <c r="Q60" s="73"/>
      <c r="R60" s="70">
        <f>SUM(R19+R119)</f>
        <v>0</v>
      </c>
      <c r="S60" s="73"/>
      <c r="T60" s="70">
        <f>SUM(T19+T119)</f>
        <v>0</v>
      </c>
      <c r="U60" s="73"/>
      <c r="V60" s="313">
        <f>SUM(V19+V119)</f>
        <v>-137234</v>
      </c>
      <c r="W60" s="73"/>
      <c r="X60" s="313">
        <f>SUM(X19+X119)</f>
        <v>-137234</v>
      </c>
      <c r="Y60" s="73"/>
      <c r="Z60" s="313">
        <f>SUM(Z19+Z119)</f>
        <v>-137234</v>
      </c>
      <c r="AA60" s="313">
        <f>SUM(AA19+AA119)</f>
        <v>-137234</v>
      </c>
      <c r="AB60" s="313">
        <f>SUM(AB19+AB119)</f>
        <v>-137234</v>
      </c>
    </row>
    <row r="61" spans="1:28" x14ac:dyDescent="0.3">
      <c r="A61" s="56" t="s">
        <v>59</v>
      </c>
      <c r="C61" s="78"/>
      <c r="E61" s="79"/>
      <c r="G61" s="82"/>
      <c r="I61" s="82"/>
      <c r="J61" s="155"/>
      <c r="K61" s="81"/>
      <c r="L61" s="78"/>
      <c r="M61" s="80"/>
      <c r="N61" s="78"/>
      <c r="O61" s="83"/>
      <c r="P61" s="128" t="s">
        <v>54</v>
      </c>
      <c r="Q61" s="84"/>
      <c r="R61" s="70"/>
      <c r="S61" s="84"/>
      <c r="T61" s="70"/>
      <c r="U61" s="84"/>
      <c r="V61" s="323">
        <f>SUM(V57:V60)*0.1*-1</f>
        <v>-446991.80000000005</v>
      </c>
      <c r="W61" s="84"/>
      <c r="X61" s="323">
        <f>SUM(X57:X60)*0.1*-1</f>
        <v>-472691</v>
      </c>
      <c r="Y61" s="84"/>
      <c r="Z61" s="323">
        <f>SUM(Z57:Z60)*0.1*-1</f>
        <v>-496493</v>
      </c>
      <c r="AA61" s="323">
        <f>SUM(AA57:AA60)*0.1*-1</f>
        <v>-524998.5</v>
      </c>
      <c r="AB61" s="323">
        <f>SUM(AB57:AB60)*0.1*-1</f>
        <v>-553504</v>
      </c>
    </row>
    <row r="62" spans="1:28" x14ac:dyDescent="0.3">
      <c r="A62" s="56"/>
      <c r="C62" s="69">
        <f>SUM(C58:C61)</f>
        <v>1980000</v>
      </c>
      <c r="E62" s="69">
        <f>SUM(E58)</f>
        <v>2088000</v>
      </c>
      <c r="G62" s="69">
        <f>SUM(G58)</f>
        <v>2340000</v>
      </c>
      <c r="I62" s="69">
        <f>SUM(I58)</f>
        <v>2430000</v>
      </c>
      <c r="J62" s="70"/>
      <c r="K62" s="71"/>
      <c r="L62" s="69">
        <f>SUM(L58)</f>
        <v>2676000</v>
      </c>
      <c r="M62" s="72"/>
      <c r="N62" s="69">
        <f>SUM(N58)</f>
        <v>2987000</v>
      </c>
      <c r="O62" s="70"/>
      <c r="P62" s="70">
        <f>SUM(P58)</f>
        <v>3088000</v>
      </c>
      <c r="Q62" s="73"/>
      <c r="R62" s="70">
        <f>SUM(R58:R61)</f>
        <v>3385000</v>
      </c>
      <c r="S62" s="73"/>
      <c r="T62" s="70">
        <f>SUM(T58:T61)</f>
        <v>3778000</v>
      </c>
      <c r="U62" s="73"/>
      <c r="V62" s="313">
        <f>SUM(V57:V61)</f>
        <v>4022926.2</v>
      </c>
      <c r="W62" s="73"/>
      <c r="X62" s="313">
        <f>SUM(X57:X61)</f>
        <v>4254219</v>
      </c>
      <c r="Y62" s="73"/>
      <c r="Z62" s="313">
        <f>SUM(Z57:Z61)</f>
        <v>4468437</v>
      </c>
      <c r="AA62" s="313">
        <f>SUM(AA57:AA61)</f>
        <v>4724986.5</v>
      </c>
      <c r="AB62" s="313">
        <f>SUM(AB57:AB61)</f>
        <v>4981536</v>
      </c>
    </row>
    <row r="63" spans="1:28" x14ac:dyDescent="0.3">
      <c r="A63" s="56" t="s">
        <v>37</v>
      </c>
      <c r="C63" s="86">
        <v>1</v>
      </c>
      <c r="E63" s="86">
        <v>1</v>
      </c>
      <c r="G63" s="86">
        <v>1</v>
      </c>
      <c r="I63" s="86">
        <v>1</v>
      </c>
      <c r="J63" s="87"/>
      <c r="K63" s="71"/>
      <c r="L63" s="86">
        <v>1</v>
      </c>
      <c r="M63" s="89"/>
      <c r="N63" s="86">
        <v>1</v>
      </c>
      <c r="O63" s="87"/>
      <c r="P63" s="87">
        <v>1</v>
      </c>
      <c r="Q63" s="73"/>
      <c r="R63" s="87">
        <v>1</v>
      </c>
      <c r="S63" s="73"/>
      <c r="T63" s="87">
        <v>1</v>
      </c>
      <c r="U63" s="73"/>
      <c r="V63" s="314">
        <v>1</v>
      </c>
      <c r="W63" s="73"/>
      <c r="X63" s="314">
        <v>1</v>
      </c>
      <c r="Y63" s="73"/>
      <c r="Z63" s="314">
        <v>1</v>
      </c>
      <c r="AA63" s="314">
        <v>1</v>
      </c>
      <c r="AB63" s="314">
        <v>1</v>
      </c>
    </row>
    <row r="64" spans="1:28" x14ac:dyDescent="0.3">
      <c r="A64" s="56" t="s">
        <v>38</v>
      </c>
      <c r="C64" s="90">
        <v>0.15857099999999999</v>
      </c>
      <c r="E64" s="90">
        <v>0.1574547</v>
      </c>
      <c r="G64" s="90">
        <f>350240377/2340000000%*0.01</f>
        <v>0.14967537478632481</v>
      </c>
      <c r="I64" s="90">
        <f>370904020/2430000000</f>
        <v>0.15263539917695473</v>
      </c>
      <c r="J64" s="91"/>
      <c r="K64" s="92"/>
      <c r="L64" s="90">
        <v>0.141817</v>
      </c>
      <c r="M64" s="94"/>
      <c r="N64" s="90">
        <f>345023.428/2987000</f>
        <v>0.11550834549715434</v>
      </c>
      <c r="O64" s="91"/>
      <c r="P64" s="91">
        <f>422107.916/P62</f>
        <v>0.13669297797927463</v>
      </c>
      <c r="Q64" s="84"/>
      <c r="R64" s="91">
        <f>442919876/3385000000</f>
        <v>0.13084782156573116</v>
      </c>
      <c r="S64" s="84"/>
      <c r="T64" s="91">
        <f>473376364/3778000000</f>
        <v>0.12529813763896241</v>
      </c>
      <c r="U64" s="84"/>
      <c r="V64" s="315">
        <f>SUM(T64)</f>
        <v>0.12529813763896241</v>
      </c>
      <c r="W64" s="84"/>
      <c r="X64" s="315">
        <f>SUM(V64)</f>
        <v>0.12529813763896241</v>
      </c>
      <c r="Y64" s="84"/>
      <c r="Z64" s="315">
        <f t="shared" ref="Z64" si="30">SUM(X64)</f>
        <v>0.12529813763896241</v>
      </c>
      <c r="AA64" s="315">
        <f>SUM(Z64)</f>
        <v>0.12529813763896241</v>
      </c>
      <c r="AB64" s="315">
        <f>SUM(AA64)</f>
        <v>0.12529813763896241</v>
      </c>
    </row>
    <row r="65" spans="1:28" x14ac:dyDescent="0.3">
      <c r="A65" s="56" t="s">
        <v>39</v>
      </c>
      <c r="C65" s="69">
        <f>SUM(C62*C64)</f>
        <v>313970.57999999996</v>
      </c>
      <c r="E65" s="69">
        <f>SUM(E62*E64)</f>
        <v>328765.41360000003</v>
      </c>
      <c r="G65" s="69">
        <f t="shared" ref="G65:I65" si="31">SUM(G62*G64)</f>
        <v>350240.37700000004</v>
      </c>
      <c r="I65" s="69">
        <f t="shared" si="31"/>
        <v>370904.02</v>
      </c>
      <c r="J65" s="70"/>
      <c r="K65" s="71"/>
      <c r="L65" s="69">
        <f t="shared" ref="L65:Z65" si="32">SUM(L62*L64)</f>
        <v>379502.29200000002</v>
      </c>
      <c r="M65" s="72"/>
      <c r="N65" s="69">
        <f t="shared" si="32"/>
        <v>345023.42800000001</v>
      </c>
      <c r="O65" s="70"/>
      <c r="P65" s="70">
        <f t="shared" si="32"/>
        <v>422107.91600000003</v>
      </c>
      <c r="Q65" s="73"/>
      <c r="R65" s="70">
        <f>SUM(R62*R64)</f>
        <v>442919.87599999999</v>
      </c>
      <c r="S65" s="73"/>
      <c r="T65" s="70">
        <f>SUM(T62*T64)</f>
        <v>473376.364</v>
      </c>
      <c r="U65" s="73"/>
      <c r="V65" s="313">
        <f>SUM(V62*V64)</f>
        <v>504065.16071898805</v>
      </c>
      <c r="W65" s="73"/>
      <c r="X65" s="313">
        <f t="shared" si="32"/>
        <v>533045.71780828899</v>
      </c>
      <c r="Y65" s="73"/>
      <c r="Z65" s="313">
        <f t="shared" si="32"/>
        <v>559886.83425703226</v>
      </c>
      <c r="AA65" s="313">
        <f>SUM(AA62*AA64)</f>
        <v>592032.00881923933</v>
      </c>
      <c r="AB65" s="313">
        <f>SUM(AB62*AB64)</f>
        <v>624177.18338144629</v>
      </c>
    </row>
    <row r="66" spans="1:28" x14ac:dyDescent="0.3">
      <c r="A66" s="56" t="s">
        <v>60</v>
      </c>
      <c r="C66" s="69">
        <f>6237-14-53-14-267</f>
        <v>5889</v>
      </c>
      <c r="E66" s="69">
        <f>-198.728-15-50.618056</f>
        <v>-264.34605600000003</v>
      </c>
      <c r="G66" s="69">
        <f>-217.58-15-69.194-0.062</f>
        <v>-301.83600000000001</v>
      </c>
      <c r="I66" s="69">
        <f>-215.103-15-50.168-0.061</f>
        <v>-280.33199999999999</v>
      </c>
      <c r="J66" s="70"/>
      <c r="K66" s="71"/>
      <c r="L66" s="69">
        <f>-49.245-0.521-15-223.702</f>
        <v>-288.46799999999996</v>
      </c>
      <c r="M66" s="72"/>
      <c r="N66" s="69">
        <v>-276.91899999999998</v>
      </c>
      <c r="O66" s="70"/>
      <c r="P66" s="70">
        <v>-569.95299999999997</v>
      </c>
      <c r="Q66" s="73"/>
      <c r="R66" s="70">
        <v>-560</v>
      </c>
      <c r="S66" s="73"/>
      <c r="T66" s="70">
        <v>-721.41099999999994</v>
      </c>
      <c r="U66" s="73"/>
      <c r="V66" s="313">
        <v>0</v>
      </c>
      <c r="W66" s="73"/>
      <c r="X66" s="313">
        <v>0</v>
      </c>
      <c r="Y66" s="73"/>
      <c r="Z66" s="313">
        <v>0</v>
      </c>
      <c r="AA66" s="313">
        <v>0</v>
      </c>
      <c r="AB66" s="313">
        <v>0</v>
      </c>
    </row>
    <row r="67" spans="1:28" x14ac:dyDescent="0.3">
      <c r="A67" s="56" t="s">
        <v>61</v>
      </c>
      <c r="C67" s="156">
        <v>1</v>
      </c>
      <c r="E67" s="156">
        <v>1</v>
      </c>
      <c r="G67" s="156">
        <v>1</v>
      </c>
      <c r="I67" s="156">
        <v>1</v>
      </c>
      <c r="J67" s="157"/>
      <c r="K67" s="71"/>
      <c r="L67" s="156">
        <v>1</v>
      </c>
      <c r="M67" s="158"/>
      <c r="N67" s="156">
        <v>1</v>
      </c>
      <c r="O67" s="157"/>
      <c r="P67" s="157">
        <v>1</v>
      </c>
      <c r="Q67" s="73"/>
      <c r="R67" s="157">
        <v>1</v>
      </c>
      <c r="S67" s="73"/>
      <c r="T67" s="157">
        <v>1</v>
      </c>
      <c r="U67" s="73"/>
      <c r="V67" s="326">
        <v>1</v>
      </c>
      <c r="W67" s="73"/>
      <c r="X67" s="326">
        <v>1</v>
      </c>
      <c r="Y67" s="73"/>
      <c r="Z67" s="326">
        <v>1</v>
      </c>
      <c r="AA67" s="326">
        <v>1</v>
      </c>
      <c r="AB67" s="326">
        <v>1</v>
      </c>
    </row>
    <row r="68" spans="1:28" x14ac:dyDescent="0.3">
      <c r="A68" s="159" t="s">
        <v>62</v>
      </c>
      <c r="C68" s="69">
        <f>SUM(C65:C66)*C67</f>
        <v>319859.57999999996</v>
      </c>
      <c r="E68" s="69">
        <f>SUM(E65:E66)*E67</f>
        <v>328501.06754400005</v>
      </c>
      <c r="G68" s="69">
        <f t="shared" ref="G68:I68" si="33">SUM(G65:G66)*G67</f>
        <v>349938.54100000003</v>
      </c>
      <c r="I68" s="69">
        <f t="shared" si="33"/>
        <v>370623.68800000002</v>
      </c>
      <c r="J68" s="70"/>
      <c r="K68" s="71"/>
      <c r="L68" s="69">
        <f t="shared" ref="L68:N68" si="34">SUM(L65:L66)*L67</f>
        <v>379213.82400000002</v>
      </c>
      <c r="M68" s="72"/>
      <c r="N68" s="69">
        <f t="shared" si="34"/>
        <v>344746.50900000002</v>
      </c>
      <c r="O68" s="70"/>
      <c r="P68" s="70">
        <f t="shared" ref="P68:Z68" si="35">SUM(P65:P66)*P67</f>
        <v>421537.96300000005</v>
      </c>
      <c r="Q68" s="73"/>
      <c r="R68" s="70">
        <f>SUM(R65:R66)*R67</f>
        <v>442359.87599999999</v>
      </c>
      <c r="S68" s="73"/>
      <c r="T68" s="70">
        <f>SUM(T65:T66)*T67</f>
        <v>472654.95299999998</v>
      </c>
      <c r="U68" s="73"/>
      <c r="V68" s="313">
        <f>SUM(V65:V66)*V67</f>
        <v>504065.16071898805</v>
      </c>
      <c r="W68" s="73"/>
      <c r="X68" s="313">
        <f t="shared" si="35"/>
        <v>533045.71780828899</v>
      </c>
      <c r="Y68" s="73"/>
      <c r="Z68" s="313">
        <f t="shared" si="35"/>
        <v>559886.83425703226</v>
      </c>
      <c r="AA68" s="313">
        <f>SUM(AA65:AA66)*AA67</f>
        <v>592032.00881923933</v>
      </c>
      <c r="AB68" s="313">
        <f>SUM(AB65:AB66)*AB67</f>
        <v>624177.18338144629</v>
      </c>
    </row>
    <row r="69" spans="1:28" x14ac:dyDescent="0.3">
      <c r="A69" s="56" t="s">
        <v>140</v>
      </c>
      <c r="C69" s="96">
        <f>20889221/319841522</f>
        <v>6.5311160569077084E-2</v>
      </c>
      <c r="E69" s="104">
        <v>6.5777000000000002E-2</v>
      </c>
      <c r="G69" s="105">
        <f>22904266/349938542</f>
        <v>6.5452253041621236E-2</v>
      </c>
      <c r="I69" s="96">
        <f>24674/370624</f>
        <v>6.6574209981005009E-2</v>
      </c>
      <c r="J69" s="160"/>
      <c r="K69" s="81"/>
      <c r="L69" s="96">
        <f>24737.466/379214</f>
        <v>6.5233525133565742E-2</v>
      </c>
      <c r="M69" s="161"/>
      <c r="N69" s="96">
        <f>22376.23/344747</f>
        <v>6.4906235587256736E-2</v>
      </c>
      <c r="O69" s="162"/>
      <c r="P69" s="163">
        <f>27999.644/421537.956</f>
        <v>6.6422592797313842E-2</v>
      </c>
      <c r="Q69" s="164"/>
      <c r="R69" s="176">
        <f>29277053/442360264</f>
        <v>6.6183731638246784E-2</v>
      </c>
      <c r="S69" s="164"/>
      <c r="T69" s="176">
        <f>30670.574/T68</f>
        <v>6.4889987516961456E-2</v>
      </c>
      <c r="U69" s="164"/>
      <c r="V69" s="327">
        <f>SUM(T69)</f>
        <v>6.4889987516961456E-2</v>
      </c>
      <c r="W69" s="164"/>
      <c r="X69" s="327">
        <f>SUM(V69)</f>
        <v>6.4889987516961456E-2</v>
      </c>
      <c r="Y69" s="164"/>
      <c r="Z69" s="327">
        <f t="shared" ref="Z69" si="36">SUM(X69)</f>
        <v>6.4889987516961456E-2</v>
      </c>
      <c r="AA69" s="327">
        <f>SUM(Z69)</f>
        <v>6.4889987516961456E-2</v>
      </c>
      <c r="AB69" s="327">
        <f>SUM(AA69)</f>
        <v>6.4889987516961456E-2</v>
      </c>
    </row>
    <row r="70" spans="1:28" x14ac:dyDescent="0.3">
      <c r="A70" s="56" t="s">
        <v>63</v>
      </c>
      <c r="C70" s="69">
        <f>SUM(C68*C69)</f>
        <v>20890.400388937553</v>
      </c>
      <c r="E70" s="69">
        <f>SUM(E68*E69)</f>
        <v>21607.814719841692</v>
      </c>
      <c r="G70" s="69">
        <f t="shared" ref="G70:I70" si="37">SUM(G68*G69)</f>
        <v>22904.265934547748</v>
      </c>
      <c r="I70" s="69">
        <f t="shared" si="37"/>
        <v>24673.979228846489</v>
      </c>
      <c r="J70" s="153"/>
      <c r="K70" s="71"/>
      <c r="L70" s="69">
        <f t="shared" ref="L70:Z70" si="38">SUM(L68*L69)</f>
        <v>24737.454518899576</v>
      </c>
      <c r="M70" s="72"/>
      <c r="N70" s="69">
        <f t="shared" si="38"/>
        <v>22376.198131038327</v>
      </c>
      <c r="O70" s="165"/>
      <c r="P70" s="131">
        <f t="shared" si="38"/>
        <v>27999.644464958154</v>
      </c>
      <c r="Q70" s="166"/>
      <c r="R70" s="70">
        <f>SUM(R68*R69)</f>
        <v>29277.027320712124</v>
      </c>
      <c r="S70" s="294"/>
      <c r="T70" s="70">
        <f>SUM(T68*T69)</f>
        <v>30670.574000000001</v>
      </c>
      <c r="U70" s="166"/>
      <c r="V70" s="313">
        <f>SUM(V68*V69)</f>
        <v>32708.781986790305</v>
      </c>
      <c r="W70" s="166"/>
      <c r="X70" s="313">
        <f t="shared" si="38"/>
        <v>34589.329974549633</v>
      </c>
      <c r="Y70" s="166"/>
      <c r="Z70" s="313">
        <f t="shared" si="38"/>
        <v>36331.049685849888</v>
      </c>
      <c r="AA70" s="313">
        <f>SUM(AA68*AA69)</f>
        <v>38416.949661922052</v>
      </c>
      <c r="AB70" s="313">
        <f>SUM(AB68*AB69)</f>
        <v>40502.849637994208</v>
      </c>
    </row>
    <row r="71" spans="1:28" x14ac:dyDescent="0.3">
      <c r="A71" s="56" t="s">
        <v>64</v>
      </c>
      <c r="C71" s="69">
        <v>0</v>
      </c>
      <c r="E71" s="69">
        <v>0</v>
      </c>
      <c r="G71" s="69">
        <v>0</v>
      </c>
      <c r="I71" s="69">
        <v>0</v>
      </c>
      <c r="J71" s="153"/>
      <c r="K71" s="71"/>
      <c r="L71" s="69">
        <v>0</v>
      </c>
      <c r="M71" s="72"/>
      <c r="N71" s="74">
        <v>0</v>
      </c>
      <c r="O71" s="72"/>
      <c r="P71" s="70">
        <v>0</v>
      </c>
      <c r="Q71" s="71"/>
      <c r="R71" s="70">
        <v>0</v>
      </c>
      <c r="S71" s="71"/>
      <c r="T71" s="70">
        <v>0</v>
      </c>
      <c r="U71" s="71"/>
      <c r="V71" s="313">
        <v>0</v>
      </c>
      <c r="W71" s="71"/>
      <c r="X71" s="313">
        <v>0</v>
      </c>
      <c r="Y71" s="71"/>
      <c r="Z71" s="313">
        <v>0</v>
      </c>
      <c r="AA71" s="313">
        <v>0</v>
      </c>
      <c r="AB71" s="313">
        <v>0</v>
      </c>
    </row>
    <row r="72" spans="1:28" x14ac:dyDescent="0.3">
      <c r="A72" s="56" t="s">
        <v>65</v>
      </c>
      <c r="C72" s="99">
        <f>SUM(C70:C71)</f>
        <v>20890.400388937553</v>
      </c>
      <c r="E72" s="99">
        <f>SUM(E70:E71)</f>
        <v>21607.814719841692</v>
      </c>
      <c r="G72" s="99">
        <f t="shared" ref="G72:I72" si="39">SUM(G70:G71)</f>
        <v>22904.265934547748</v>
      </c>
      <c r="I72" s="99">
        <f t="shared" si="39"/>
        <v>24673.979228846489</v>
      </c>
      <c r="J72" s="167"/>
      <c r="K72" s="101"/>
      <c r="L72" s="99">
        <f t="shared" ref="L72:Z72" si="40">SUM(L70:L71)</f>
        <v>24737.454518899576</v>
      </c>
      <c r="M72" s="102"/>
      <c r="N72" s="99">
        <f t="shared" si="40"/>
        <v>22376.198131038327</v>
      </c>
      <c r="O72" s="102"/>
      <c r="P72" s="100">
        <f t="shared" si="40"/>
        <v>27999.644464958154</v>
      </c>
      <c r="Q72" s="101"/>
      <c r="R72" s="100">
        <f t="shared" ref="R72" si="41">SUM(R70:R71)</f>
        <v>29277.027320712124</v>
      </c>
      <c r="S72" s="101"/>
      <c r="T72" s="100">
        <f>SUM(T70:T71)</f>
        <v>30670.574000000001</v>
      </c>
      <c r="U72" s="101"/>
      <c r="V72" s="317">
        <f>SUM(V70:V71)</f>
        <v>32708.781986790305</v>
      </c>
      <c r="W72" s="101"/>
      <c r="X72" s="317">
        <f t="shared" si="40"/>
        <v>34589.329974549633</v>
      </c>
      <c r="Y72" s="101"/>
      <c r="Z72" s="317">
        <f t="shared" si="40"/>
        <v>36331.049685849888</v>
      </c>
      <c r="AA72" s="317">
        <f>SUM(AA70:AA71)</f>
        <v>38416.949661922052</v>
      </c>
      <c r="AB72" s="317">
        <f>SUM(AB70:AB71)</f>
        <v>40502.849637994208</v>
      </c>
    </row>
    <row r="73" spans="1:28" x14ac:dyDescent="0.3">
      <c r="A73" s="56" t="s">
        <v>44</v>
      </c>
      <c r="B73" s="168"/>
      <c r="C73" s="105">
        <v>0.31665890000000002</v>
      </c>
      <c r="D73" s="136">
        <f>SUM(E73-C73)/E73</f>
        <v>1.2508805778898601E-2</v>
      </c>
      <c r="E73" s="105">
        <v>0.32067010000000001</v>
      </c>
      <c r="F73" s="169">
        <f>SUM(G73-E73)/G73</f>
        <v>-1.7309515855741205E-2</v>
      </c>
      <c r="G73" s="105">
        <v>0.31521389999999999</v>
      </c>
      <c r="H73" s="108">
        <f>SUM(I73-G73)/G73</f>
        <v>4.9560661099330737E-2</v>
      </c>
      <c r="I73" s="105">
        <f>8163129.23/24674239</f>
        <v>0.33083610927169832</v>
      </c>
      <c r="J73" s="137"/>
      <c r="K73" s="108">
        <f>SUM(L73-I73)/I73</f>
        <v>3.3346375673087368E-2</v>
      </c>
      <c r="L73" s="105">
        <f>8456.796/24737</f>
        <v>0.34186829445769495</v>
      </c>
      <c r="M73" s="108">
        <f>SUM((N73-L73)/L73)</f>
        <v>5.3951137019573575E-2</v>
      </c>
      <c r="N73" s="104">
        <f>8062.352/22376</f>
        <v>0.36031247765462998</v>
      </c>
      <c r="O73" s="108">
        <f>SUM((P73-N73)/N73)</f>
        <v>-3.346566291247341E-2</v>
      </c>
      <c r="P73" s="293">
        <f>9750.99871/27999.644</f>
        <v>0.34825438173428203</v>
      </c>
      <c r="Q73" s="294">
        <f>SUM((R73-P73)/P73)</f>
        <v>2.2302190699755222E-2</v>
      </c>
      <c r="R73" s="293">
        <f>10423252.05/29277053</f>
        <v>0.35602121736774534</v>
      </c>
      <c r="S73" s="294">
        <f>SUM((T73-R73)/R73)</f>
        <v>2.2726163818205108E-2</v>
      </c>
      <c r="T73" s="293">
        <f>11167.5306/T72</f>
        <v>0.36411221387640152</v>
      </c>
      <c r="U73" s="305">
        <f>$U$30</f>
        <v>0</v>
      </c>
      <c r="V73" s="318">
        <f>SUM(T73*(1+U73))</f>
        <v>0.36411221387640152</v>
      </c>
      <c r="W73" s="305">
        <f>$W$30</f>
        <v>0</v>
      </c>
      <c r="X73" s="318">
        <f>SUM(V73*(1+W73))</f>
        <v>0.36411221387640152</v>
      </c>
      <c r="Y73" s="305">
        <f>$Y$30</f>
        <v>0.02</v>
      </c>
      <c r="Z73" s="318">
        <f>SUM(X73*(1+Y73))</f>
        <v>0.37139445815392957</v>
      </c>
      <c r="AA73" s="318">
        <f>SUM(Z73*(1+Y73))</f>
        <v>0.37882234731700815</v>
      </c>
      <c r="AB73" s="318">
        <f>SUM(AA73*(1+Y73))</f>
        <v>0.38639879426334833</v>
      </c>
    </row>
    <row r="74" spans="1:28" x14ac:dyDescent="0.3">
      <c r="A74" s="56"/>
      <c r="C74" s="110"/>
      <c r="E74" s="110"/>
      <c r="G74" s="110"/>
      <c r="I74" s="110"/>
      <c r="J74" s="139"/>
      <c r="K74" s="71"/>
      <c r="L74" s="110"/>
      <c r="M74" s="111"/>
      <c r="N74" s="110"/>
      <c r="O74" s="111"/>
      <c r="P74" s="139"/>
      <c r="Q74" s="71"/>
      <c r="R74" s="139"/>
      <c r="S74" s="71"/>
      <c r="T74" s="139"/>
      <c r="U74" s="71"/>
      <c r="V74" s="319"/>
      <c r="W74" s="71"/>
      <c r="X74" s="319"/>
      <c r="Y74" s="71"/>
      <c r="Z74" s="319"/>
      <c r="AA74" s="319"/>
      <c r="AB74" s="319"/>
    </row>
    <row r="75" spans="1:28" ht="15" thickBot="1" x14ac:dyDescent="0.35">
      <c r="A75" s="52" t="s">
        <v>45</v>
      </c>
      <c r="C75" s="112">
        <f>SUM(C72*C73)</f>
        <v>6615.1312077205384</v>
      </c>
      <c r="E75" s="112">
        <f>SUM(E72*E73)</f>
        <v>6928.9801069931073</v>
      </c>
      <c r="G75" s="112">
        <f t="shared" ref="G75:I75" si="42">SUM(G72*G73)</f>
        <v>7219.74299186594</v>
      </c>
      <c r="I75" s="112">
        <f t="shared" si="42"/>
        <v>8163.043288322272</v>
      </c>
      <c r="J75" s="141"/>
      <c r="K75" s="114"/>
      <c r="L75" s="112">
        <f t="shared" ref="L75:Z75" si="43">SUM(L72*L73)</f>
        <v>8456.9513856009962</v>
      </c>
      <c r="M75" s="113"/>
      <c r="N75" s="112">
        <f t="shared" si="43"/>
        <v>8062.4233890853202</v>
      </c>
      <c r="O75" s="113"/>
      <c r="P75" s="141">
        <f>SUM(P72*P73)</f>
        <v>9750.9988719237135</v>
      </c>
      <c r="Q75" s="114"/>
      <c r="R75" s="141">
        <f>SUM(R72*R73)</f>
        <v>10423.24290762867</v>
      </c>
      <c r="S75" s="114"/>
      <c r="T75" s="141">
        <f>SUM(T72*T73)</f>
        <v>11167.5306</v>
      </c>
      <c r="U75" s="114"/>
      <c r="V75" s="320">
        <f>SUM(V72*V73)</f>
        <v>11909.667022410782</v>
      </c>
      <c r="W75" s="114"/>
      <c r="X75" s="320">
        <f t="shared" si="43"/>
        <v>12594.397513534643</v>
      </c>
      <c r="Y75" s="114"/>
      <c r="Z75" s="320">
        <f t="shared" si="43"/>
        <v>13493.150512239712</v>
      </c>
      <c r="AA75" s="320">
        <f>SUM(AA72*AA73)</f>
        <v>14553.199047688655</v>
      </c>
      <c r="AB75" s="320">
        <f>SUM(AB72*AB73)</f>
        <v>15650.252264350656</v>
      </c>
    </row>
    <row r="76" spans="1:28" ht="15" thickTop="1" x14ac:dyDescent="0.3">
      <c r="A76" s="170"/>
      <c r="C76" s="171"/>
      <c r="E76" s="171"/>
      <c r="F76" s="171"/>
      <c r="G76" s="171"/>
      <c r="I76" s="171"/>
      <c r="J76" s="171"/>
      <c r="K76" s="172"/>
      <c r="L76" s="173"/>
      <c r="M76" s="171"/>
      <c r="N76" s="171"/>
      <c r="O76" s="171"/>
      <c r="P76" s="171"/>
      <c r="Q76" s="172"/>
      <c r="R76" s="171"/>
      <c r="S76" s="172"/>
      <c r="T76" s="171"/>
      <c r="U76" s="172"/>
      <c r="V76" s="171"/>
      <c r="W76" s="172"/>
      <c r="X76" s="171"/>
      <c r="Y76" s="172"/>
      <c r="Z76" s="171"/>
      <c r="AA76" s="171"/>
      <c r="AB76" s="171"/>
    </row>
    <row r="77" spans="1:28" x14ac:dyDescent="0.3">
      <c r="A77" s="60" t="s">
        <v>66</v>
      </c>
      <c r="C77" s="57" t="s">
        <v>67</v>
      </c>
      <c r="E77" s="57" t="s">
        <v>68</v>
      </c>
      <c r="G77" s="57" t="s">
        <v>69</v>
      </c>
      <c r="I77" s="57" t="s">
        <v>70</v>
      </c>
      <c r="J77" s="120"/>
      <c r="K77" s="59"/>
      <c r="L77" s="57" t="s">
        <v>71</v>
      </c>
      <c r="M77" s="58"/>
      <c r="N77" s="57" t="s">
        <v>72</v>
      </c>
      <c r="O77" s="120"/>
      <c r="P77" s="120" t="s">
        <v>73</v>
      </c>
      <c r="Q77" s="174"/>
      <c r="R77" s="120" t="s">
        <v>134</v>
      </c>
      <c r="S77" s="174"/>
      <c r="T77" s="120" t="s">
        <v>150</v>
      </c>
      <c r="U77" s="174"/>
      <c r="V77" s="301" t="s">
        <v>74</v>
      </c>
      <c r="W77" s="174"/>
      <c r="X77" s="301" t="s">
        <v>136</v>
      </c>
      <c r="Y77" s="174"/>
      <c r="Z77" s="301" t="s">
        <v>137</v>
      </c>
      <c r="AA77" s="301" t="s">
        <v>138</v>
      </c>
      <c r="AB77" s="301" t="str">
        <f>$AB$10</f>
        <v>2023 Estimate</v>
      </c>
    </row>
    <row r="78" spans="1:28" x14ac:dyDescent="0.3">
      <c r="A78" s="147"/>
      <c r="C78" s="62"/>
      <c r="E78" s="62"/>
      <c r="G78" s="62"/>
      <c r="I78" s="62"/>
      <c r="J78" s="63"/>
      <c r="K78" s="64"/>
      <c r="L78" s="62"/>
      <c r="M78" s="65"/>
      <c r="N78" s="62"/>
      <c r="O78" s="63"/>
      <c r="P78" s="65"/>
      <c r="Q78" s="175"/>
      <c r="R78" s="65"/>
      <c r="S78" s="175"/>
      <c r="T78" s="65"/>
      <c r="U78" s="175"/>
      <c r="V78" s="321"/>
      <c r="W78" s="175"/>
      <c r="X78" s="321"/>
      <c r="Y78" s="175"/>
      <c r="Z78" s="321"/>
      <c r="AA78" s="321"/>
      <c r="AB78" s="321"/>
    </row>
    <row r="79" spans="1:28" x14ac:dyDescent="0.3">
      <c r="A79" s="56" t="s">
        <v>30</v>
      </c>
      <c r="C79" s="45" t="s">
        <v>75</v>
      </c>
      <c r="E79" s="45" t="s">
        <v>75</v>
      </c>
      <c r="G79" s="45" t="s">
        <v>75</v>
      </c>
      <c r="I79" s="45" t="s">
        <v>75</v>
      </c>
      <c r="J79" s="46"/>
      <c r="K79" s="43"/>
      <c r="L79" s="45" t="s">
        <v>75</v>
      </c>
      <c r="M79" s="42"/>
      <c r="N79" s="45" t="s">
        <v>75</v>
      </c>
      <c r="O79" s="46"/>
      <c r="P79" s="46" t="s">
        <v>75</v>
      </c>
      <c r="Q79" s="47"/>
      <c r="R79" s="46" t="s">
        <v>75</v>
      </c>
      <c r="S79" s="47"/>
      <c r="T79" s="46" t="s">
        <v>75</v>
      </c>
      <c r="U79" s="47"/>
      <c r="V79" s="308" t="s">
        <v>75</v>
      </c>
      <c r="W79" s="47"/>
      <c r="X79" s="308" t="s">
        <v>75</v>
      </c>
      <c r="Y79" s="47"/>
      <c r="Z79" s="308" t="s">
        <v>75</v>
      </c>
      <c r="AA79" s="308" t="s">
        <v>75</v>
      </c>
      <c r="AB79" s="308" t="s">
        <v>75</v>
      </c>
    </row>
    <row r="80" spans="1:28" x14ac:dyDescent="0.3">
      <c r="A80" s="56" t="s">
        <v>31</v>
      </c>
      <c r="C80" s="69">
        <v>841</v>
      </c>
      <c r="E80" s="69">
        <v>925</v>
      </c>
      <c r="G80" s="69">
        <v>888</v>
      </c>
      <c r="I80" s="69">
        <v>1002</v>
      </c>
      <c r="J80" s="70"/>
      <c r="K80" s="71"/>
      <c r="L80" s="69">
        <v>1190</v>
      </c>
      <c r="M80" s="72"/>
      <c r="N80" s="69">
        <v>1131</v>
      </c>
      <c r="O80" s="70"/>
      <c r="P80" s="70">
        <v>1137.998</v>
      </c>
      <c r="Q80" s="73"/>
      <c r="R80" s="70">
        <v>1221</v>
      </c>
      <c r="S80" s="73"/>
      <c r="T80" s="70">
        <v>1432</v>
      </c>
      <c r="U80" s="73"/>
      <c r="V80" s="313">
        <f>SUM(T80)</f>
        <v>1432</v>
      </c>
      <c r="W80" s="73"/>
      <c r="X80" s="313">
        <f>SUM(V80)</f>
        <v>1432</v>
      </c>
      <c r="Y80" s="73"/>
      <c r="Z80" s="313">
        <f>SUM(X80)</f>
        <v>1432</v>
      </c>
      <c r="AA80" s="313">
        <f t="shared" ref="AA80" si="44">SUM(Z80)</f>
        <v>1432</v>
      </c>
      <c r="AB80" s="313">
        <f>SUM(AA80)</f>
        <v>1432</v>
      </c>
    </row>
    <row r="81" spans="1:28" x14ac:dyDescent="0.3">
      <c r="A81" s="56" t="s">
        <v>76</v>
      </c>
      <c r="C81" s="69">
        <f>SUM(C73)</f>
        <v>0.31665890000000002</v>
      </c>
      <c r="E81" s="69">
        <f>SUM(E73)</f>
        <v>0.32067010000000001</v>
      </c>
      <c r="G81" s="69">
        <f>SUM(G73)</f>
        <v>0.31521389999999999</v>
      </c>
      <c r="I81" s="69">
        <f>SUM(I73)</f>
        <v>0.33083610927169832</v>
      </c>
      <c r="J81" s="70"/>
      <c r="K81" s="71" t="s">
        <v>1</v>
      </c>
      <c r="L81" s="69">
        <v>0</v>
      </c>
      <c r="M81" s="72"/>
      <c r="N81" s="69">
        <v>0</v>
      </c>
      <c r="O81" s="70"/>
      <c r="P81" s="70">
        <v>0</v>
      </c>
      <c r="Q81" s="73"/>
      <c r="R81" s="70">
        <v>0</v>
      </c>
      <c r="S81" s="73"/>
      <c r="T81" s="70">
        <v>0</v>
      </c>
      <c r="U81" s="73"/>
      <c r="V81" s="313">
        <v>0</v>
      </c>
      <c r="W81" s="73"/>
      <c r="X81" s="313">
        <v>0</v>
      </c>
      <c r="Y81" s="73"/>
      <c r="Z81" s="313">
        <v>0</v>
      </c>
      <c r="AA81" s="313">
        <v>0</v>
      </c>
      <c r="AB81" s="313">
        <v>0</v>
      </c>
    </row>
    <row r="82" spans="1:28" x14ac:dyDescent="0.3">
      <c r="A82" s="56" t="s">
        <v>52</v>
      </c>
      <c r="C82" s="69">
        <f>SUM(C74)</f>
        <v>0</v>
      </c>
      <c r="E82" s="69">
        <f>SUM(E74)</f>
        <v>0</v>
      </c>
      <c r="G82" s="69">
        <f>SUM(G74)</f>
        <v>0</v>
      </c>
      <c r="I82" s="69">
        <f>SUM(I74)</f>
        <v>0</v>
      </c>
      <c r="J82" s="70"/>
      <c r="K82" s="71"/>
      <c r="L82" s="69">
        <v>0</v>
      </c>
      <c r="M82" s="72"/>
      <c r="N82" s="69">
        <v>0</v>
      </c>
      <c r="O82" s="70"/>
      <c r="P82" s="70">
        <f>SUM(P74)</f>
        <v>0</v>
      </c>
      <c r="Q82" s="73"/>
      <c r="R82" s="70">
        <f>SUM(R74)</f>
        <v>0</v>
      </c>
      <c r="S82" s="73"/>
      <c r="T82" s="70">
        <f>SUM(T74)</f>
        <v>0</v>
      </c>
      <c r="U82" s="73"/>
      <c r="V82" s="313">
        <f>SUM(V74)</f>
        <v>0</v>
      </c>
      <c r="W82" s="73"/>
      <c r="X82" s="313">
        <f>SUM(X74)</f>
        <v>0</v>
      </c>
      <c r="Y82" s="73"/>
      <c r="Z82" s="313">
        <f>SUM(Z74)</f>
        <v>0</v>
      </c>
      <c r="AA82" s="313">
        <f>SUM(AA74)</f>
        <v>0</v>
      </c>
      <c r="AB82" s="313">
        <f>SUM(AB74)</f>
        <v>0</v>
      </c>
    </row>
    <row r="83" spans="1:28" x14ac:dyDescent="0.3">
      <c r="A83" s="56" t="s">
        <v>37</v>
      </c>
      <c r="C83" s="86">
        <v>1</v>
      </c>
      <c r="E83" s="86">
        <v>1</v>
      </c>
      <c r="G83" s="86">
        <v>1</v>
      </c>
      <c r="I83" s="86">
        <v>1</v>
      </c>
      <c r="J83" s="87"/>
      <c r="K83" s="71"/>
      <c r="L83" s="86">
        <v>1</v>
      </c>
      <c r="M83" s="89"/>
      <c r="N83" s="86">
        <v>1</v>
      </c>
      <c r="O83" s="87"/>
      <c r="P83" s="87">
        <v>1</v>
      </c>
      <c r="Q83" s="73"/>
      <c r="R83" s="87">
        <v>1</v>
      </c>
      <c r="S83" s="73"/>
      <c r="T83" s="87">
        <v>1</v>
      </c>
      <c r="U83" s="73"/>
      <c r="V83" s="314">
        <v>1</v>
      </c>
      <c r="W83" s="73"/>
      <c r="X83" s="314">
        <v>1</v>
      </c>
      <c r="Y83" s="73"/>
      <c r="Z83" s="314">
        <v>1</v>
      </c>
      <c r="AA83" s="314">
        <v>1</v>
      </c>
      <c r="AB83" s="314">
        <v>1</v>
      </c>
    </row>
    <row r="84" spans="1:28" x14ac:dyDescent="0.3">
      <c r="A84" s="56" t="s">
        <v>38</v>
      </c>
      <c r="C84" s="90">
        <v>1</v>
      </c>
      <c r="E84" s="90">
        <v>1</v>
      </c>
      <c r="G84" s="90">
        <v>1</v>
      </c>
      <c r="I84" s="90">
        <v>1</v>
      </c>
      <c r="J84" s="91"/>
      <c r="K84" s="81"/>
      <c r="L84" s="90">
        <v>1</v>
      </c>
      <c r="M84" s="94"/>
      <c r="N84" s="90">
        <v>1</v>
      </c>
      <c r="O84" s="91"/>
      <c r="P84" s="91">
        <v>1</v>
      </c>
      <c r="Q84" s="84"/>
      <c r="R84" s="91">
        <v>1</v>
      </c>
      <c r="S84" s="84"/>
      <c r="T84" s="91">
        <v>1</v>
      </c>
      <c r="U84" s="84"/>
      <c r="V84" s="315">
        <v>1</v>
      </c>
      <c r="W84" s="84"/>
      <c r="X84" s="315">
        <v>1</v>
      </c>
      <c r="Y84" s="84"/>
      <c r="Z84" s="315">
        <v>1</v>
      </c>
      <c r="AA84" s="315">
        <v>1</v>
      </c>
      <c r="AB84" s="315">
        <v>1</v>
      </c>
    </row>
    <row r="85" spans="1:28" x14ac:dyDescent="0.3">
      <c r="A85" s="56" t="s">
        <v>39</v>
      </c>
      <c r="C85" s="69">
        <f>SUM((C80+C81+C82)*C83*C84)</f>
        <v>841.31665889999999</v>
      </c>
      <c r="E85" s="69">
        <f>SUM((E80+E81+E82)*E83*E84)</f>
        <v>925.32067010000003</v>
      </c>
      <c r="G85" s="69">
        <f t="shared" ref="G85:I85" si="45">SUM((G80+G81+G82)*G83*G84)</f>
        <v>888.3152139</v>
      </c>
      <c r="I85" s="69">
        <f t="shared" si="45"/>
        <v>1002.3308361092717</v>
      </c>
      <c r="J85" s="70"/>
      <c r="K85" s="71"/>
      <c r="L85" s="69">
        <f>SUM((L80+L81+L82)*L83*L84)</f>
        <v>1190</v>
      </c>
      <c r="M85" s="72"/>
      <c r="N85" s="69">
        <f>SUM((N80+N81+N82)*N83*N84)</f>
        <v>1131</v>
      </c>
      <c r="O85" s="70"/>
      <c r="P85" s="70">
        <f t="shared" ref="P85:AA85" si="46">SUM((P80+P81+P82)*P83*P84)</f>
        <v>1137.998</v>
      </c>
      <c r="Q85" s="73"/>
      <c r="R85" s="70">
        <f t="shared" ref="R85" si="47">SUM((R80+R81+R82)*R83*R84)</f>
        <v>1221</v>
      </c>
      <c r="S85" s="73"/>
      <c r="T85" s="70">
        <f t="shared" si="46"/>
        <v>1432</v>
      </c>
      <c r="U85" s="73"/>
      <c r="V85" s="313">
        <f t="shared" si="46"/>
        <v>1432</v>
      </c>
      <c r="W85" s="73"/>
      <c r="X85" s="313">
        <f t="shared" si="46"/>
        <v>1432</v>
      </c>
      <c r="Y85" s="73"/>
      <c r="Z85" s="313">
        <f t="shared" si="46"/>
        <v>1432</v>
      </c>
      <c r="AA85" s="313">
        <f t="shared" si="46"/>
        <v>1432</v>
      </c>
      <c r="AB85" s="313">
        <f>SUM((AB80+AB81+AB82)*AB83*AB84)</f>
        <v>1432</v>
      </c>
    </row>
    <row r="86" spans="1:28" x14ac:dyDescent="0.3">
      <c r="A86" s="56" t="s">
        <v>60</v>
      </c>
      <c r="C86" s="69"/>
      <c r="E86" s="69"/>
      <c r="G86" s="69"/>
      <c r="I86" s="69"/>
      <c r="J86" s="70"/>
      <c r="K86" s="71"/>
      <c r="L86" s="69"/>
      <c r="M86" s="72"/>
      <c r="N86" s="69"/>
      <c r="O86" s="70"/>
      <c r="P86" s="124"/>
      <c r="Q86" s="73"/>
      <c r="R86" s="124"/>
      <c r="S86" s="73"/>
      <c r="T86" s="124"/>
      <c r="U86" s="73"/>
      <c r="V86" s="313"/>
      <c r="W86" s="73"/>
      <c r="X86" s="313"/>
      <c r="Y86" s="73"/>
      <c r="Z86" s="313"/>
      <c r="AA86" s="313"/>
      <c r="AB86" s="313"/>
    </row>
    <row r="87" spans="1:28" x14ac:dyDescent="0.3">
      <c r="A87" s="56" t="s">
        <v>61</v>
      </c>
      <c r="C87" s="156">
        <v>1</v>
      </c>
      <c r="E87" s="156">
        <v>1</v>
      </c>
      <c r="G87" s="156">
        <v>1</v>
      </c>
      <c r="I87" s="156">
        <v>1</v>
      </c>
      <c r="J87" s="157"/>
      <c r="K87" s="71"/>
      <c r="L87" s="156">
        <v>1</v>
      </c>
      <c r="M87" s="158"/>
      <c r="N87" s="156">
        <v>1</v>
      </c>
      <c r="O87" s="157"/>
      <c r="P87" s="157">
        <v>1</v>
      </c>
      <c r="Q87" s="73"/>
      <c r="R87" s="157">
        <v>1</v>
      </c>
      <c r="S87" s="73"/>
      <c r="T87" s="157">
        <v>1</v>
      </c>
      <c r="U87" s="73"/>
      <c r="V87" s="326">
        <v>1</v>
      </c>
      <c r="W87" s="73"/>
      <c r="X87" s="326">
        <v>1</v>
      </c>
      <c r="Y87" s="73"/>
      <c r="Z87" s="326">
        <v>1</v>
      </c>
      <c r="AA87" s="326">
        <v>1</v>
      </c>
      <c r="AB87" s="326">
        <v>1</v>
      </c>
    </row>
    <row r="88" spans="1:28" x14ac:dyDescent="0.3">
      <c r="A88" s="159" t="s">
        <v>62</v>
      </c>
      <c r="C88" s="69">
        <f>SUM(C85:C86)*C87</f>
        <v>841.31665889999999</v>
      </c>
      <c r="E88" s="69">
        <f>SUM(E85:E86)*E87</f>
        <v>925.32067010000003</v>
      </c>
      <c r="G88" s="69">
        <f t="shared" ref="G88:I88" si="48">SUM(G85:G86)*G87</f>
        <v>888.3152139</v>
      </c>
      <c r="I88" s="69">
        <f t="shared" si="48"/>
        <v>1002.3308361092717</v>
      </c>
      <c r="J88" s="70"/>
      <c r="K88" s="71"/>
      <c r="L88" s="69">
        <v>1190</v>
      </c>
      <c r="M88" s="72"/>
      <c r="N88" s="69">
        <f t="shared" ref="N88" si="49">SUM(N85:N86)*N87</f>
        <v>1131</v>
      </c>
      <c r="O88" s="70"/>
      <c r="P88" s="70">
        <f t="shared" ref="P88:AA88" si="50">SUM(P85:P86)*P87</f>
        <v>1137.998</v>
      </c>
      <c r="Q88" s="73"/>
      <c r="R88" s="70">
        <f t="shared" ref="R88" si="51">SUM(R85:R86)*R87</f>
        <v>1221</v>
      </c>
      <c r="S88" s="73"/>
      <c r="T88" s="70">
        <f t="shared" si="50"/>
        <v>1432</v>
      </c>
      <c r="U88" s="73"/>
      <c r="V88" s="313">
        <f t="shared" si="50"/>
        <v>1432</v>
      </c>
      <c r="W88" s="73"/>
      <c r="X88" s="313">
        <f t="shared" si="50"/>
        <v>1432</v>
      </c>
      <c r="Y88" s="73"/>
      <c r="Z88" s="313">
        <f t="shared" si="50"/>
        <v>1432</v>
      </c>
      <c r="AA88" s="313">
        <f t="shared" si="50"/>
        <v>1432</v>
      </c>
      <c r="AB88" s="313">
        <f>SUM(AB85:AB86)*AB87</f>
        <v>1432</v>
      </c>
    </row>
    <row r="89" spans="1:28" x14ac:dyDescent="0.3">
      <c r="A89" s="56" t="s">
        <v>55</v>
      </c>
      <c r="C89" s="96">
        <v>1</v>
      </c>
      <c r="E89" s="96">
        <v>1</v>
      </c>
      <c r="G89" s="96">
        <v>1</v>
      </c>
      <c r="I89" s="96">
        <v>1</v>
      </c>
      <c r="J89" s="176"/>
      <c r="K89" s="81"/>
      <c r="L89" s="96">
        <v>1</v>
      </c>
      <c r="M89" s="161"/>
      <c r="N89" s="96">
        <v>1</v>
      </c>
      <c r="O89" s="176"/>
      <c r="P89" s="176">
        <v>1</v>
      </c>
      <c r="Q89" s="84"/>
      <c r="R89" s="176">
        <v>1</v>
      </c>
      <c r="S89" s="84"/>
      <c r="T89" s="176">
        <v>1</v>
      </c>
      <c r="U89" s="84"/>
      <c r="V89" s="327">
        <v>1</v>
      </c>
      <c r="W89" s="84"/>
      <c r="X89" s="327">
        <v>1</v>
      </c>
      <c r="Y89" s="84"/>
      <c r="Z89" s="327">
        <v>1</v>
      </c>
      <c r="AA89" s="327">
        <v>1</v>
      </c>
      <c r="AB89" s="327">
        <v>1</v>
      </c>
    </row>
    <row r="90" spans="1:28" x14ac:dyDescent="0.3">
      <c r="A90" s="56" t="s">
        <v>63</v>
      </c>
      <c r="C90" s="69">
        <f>SUM(C88*C89)</f>
        <v>841.31665889999999</v>
      </c>
      <c r="E90" s="69">
        <f>SUM(E88*E89)</f>
        <v>925.32067010000003</v>
      </c>
      <c r="G90" s="69">
        <f t="shared" ref="G90:I90" si="52">SUM(G88*G89)</f>
        <v>888.3152139</v>
      </c>
      <c r="I90" s="69">
        <f t="shared" si="52"/>
        <v>1002.3308361092717</v>
      </c>
      <c r="J90" s="70"/>
      <c r="K90" s="71"/>
      <c r="L90" s="69">
        <f t="shared" ref="L90:AA90" si="53">SUM(L88*L89)</f>
        <v>1190</v>
      </c>
      <c r="M90" s="72"/>
      <c r="N90" s="69">
        <f t="shared" si="53"/>
        <v>1131</v>
      </c>
      <c r="O90" s="70"/>
      <c r="P90" s="70">
        <f t="shared" si="53"/>
        <v>1137.998</v>
      </c>
      <c r="Q90" s="73"/>
      <c r="R90" s="70">
        <f t="shared" ref="R90" si="54">SUM(R88*R89)</f>
        <v>1221</v>
      </c>
      <c r="S90" s="73"/>
      <c r="T90" s="70">
        <f t="shared" si="53"/>
        <v>1432</v>
      </c>
      <c r="U90" s="73"/>
      <c r="V90" s="313">
        <f t="shared" si="53"/>
        <v>1432</v>
      </c>
      <c r="W90" s="73"/>
      <c r="X90" s="313">
        <f t="shared" si="53"/>
        <v>1432</v>
      </c>
      <c r="Y90" s="73"/>
      <c r="Z90" s="313">
        <f t="shared" si="53"/>
        <v>1432</v>
      </c>
      <c r="AA90" s="313">
        <f t="shared" si="53"/>
        <v>1432</v>
      </c>
      <c r="AB90" s="313">
        <f>SUM(AB88*AB89)</f>
        <v>1432</v>
      </c>
    </row>
    <row r="91" spans="1:28" x14ac:dyDescent="0.3">
      <c r="A91" s="56" t="s">
        <v>77</v>
      </c>
      <c r="C91" s="69">
        <v>0</v>
      </c>
      <c r="E91" s="69">
        <v>0</v>
      </c>
      <c r="G91" s="69">
        <v>0</v>
      </c>
      <c r="I91" s="69">
        <v>0</v>
      </c>
      <c r="J91" s="70"/>
      <c r="K91" s="71"/>
      <c r="L91" s="69">
        <v>0</v>
      </c>
      <c r="M91" s="72"/>
      <c r="N91" s="69">
        <v>0</v>
      </c>
      <c r="O91" s="70"/>
      <c r="P91" s="70">
        <v>0</v>
      </c>
      <c r="Q91" s="73"/>
      <c r="R91" s="70">
        <v>0</v>
      </c>
      <c r="S91" s="73"/>
      <c r="T91" s="70">
        <v>0</v>
      </c>
      <c r="U91" s="73"/>
      <c r="V91" s="313">
        <v>0</v>
      </c>
      <c r="W91" s="73"/>
      <c r="X91" s="313">
        <v>0</v>
      </c>
      <c r="Y91" s="73"/>
      <c r="Z91" s="313">
        <v>0</v>
      </c>
      <c r="AA91" s="313">
        <v>0</v>
      </c>
      <c r="AB91" s="313">
        <v>0</v>
      </c>
    </row>
    <row r="92" spans="1:28" x14ac:dyDescent="0.3">
      <c r="A92" s="56" t="s">
        <v>65</v>
      </c>
      <c r="C92" s="99">
        <f>SUM(C90:C91)</f>
        <v>841.31665889999999</v>
      </c>
      <c r="E92" s="99">
        <f>SUM(E90:E91)</f>
        <v>925.32067010000003</v>
      </c>
      <c r="G92" s="99">
        <f t="shared" ref="G92:I92" si="55">SUM(G90:G91)</f>
        <v>888.3152139</v>
      </c>
      <c r="I92" s="99">
        <f t="shared" si="55"/>
        <v>1002.3308361092717</v>
      </c>
      <c r="J92" s="100"/>
      <c r="K92" s="101"/>
      <c r="L92" s="99">
        <f t="shared" ref="L92:AA92" si="56">SUM(L90:L91)</f>
        <v>1190</v>
      </c>
      <c r="M92" s="111"/>
      <c r="N92" s="99">
        <f t="shared" si="56"/>
        <v>1131</v>
      </c>
      <c r="O92" s="100"/>
      <c r="P92" s="100">
        <f t="shared" si="56"/>
        <v>1137.998</v>
      </c>
      <c r="Q92" s="177"/>
      <c r="R92" s="100">
        <f t="shared" ref="R92" si="57">SUM(R90:R91)</f>
        <v>1221</v>
      </c>
      <c r="S92" s="177"/>
      <c r="T92" s="100">
        <f t="shared" si="56"/>
        <v>1432</v>
      </c>
      <c r="U92" s="177"/>
      <c r="V92" s="317">
        <f t="shared" si="56"/>
        <v>1432</v>
      </c>
      <c r="W92" s="177"/>
      <c r="X92" s="317">
        <f t="shared" si="56"/>
        <v>1432</v>
      </c>
      <c r="Y92" s="177"/>
      <c r="Z92" s="317">
        <f t="shared" si="56"/>
        <v>1432</v>
      </c>
      <c r="AA92" s="317">
        <f t="shared" si="56"/>
        <v>1432</v>
      </c>
      <c r="AB92" s="317">
        <f>SUM(AB90:AB91)</f>
        <v>1432</v>
      </c>
    </row>
    <row r="93" spans="1:28" x14ac:dyDescent="0.3">
      <c r="A93" s="56" t="s">
        <v>44</v>
      </c>
      <c r="B93" s="168"/>
      <c r="C93" s="105">
        <v>9.7459999999999995E-3</v>
      </c>
      <c r="D93" s="138">
        <f>SUM(E93-C93)/E93</f>
        <v>-4.425158041358622E-2</v>
      </c>
      <c r="E93" s="105">
        <v>9.3329999999999993E-3</v>
      </c>
      <c r="F93" s="138">
        <f>SUM(G93-E93)/G93</f>
        <v>-2.4704618689579713E-3</v>
      </c>
      <c r="G93" s="105">
        <v>9.3100000000000006E-3</v>
      </c>
      <c r="H93" s="106">
        <f>SUM(I93-G93)/G93</f>
        <v>-1.5450106807006719E-3</v>
      </c>
      <c r="I93" s="105">
        <f>9314.17/1001996</f>
        <v>9.2956159505626773E-3</v>
      </c>
      <c r="J93" s="137"/>
      <c r="K93" s="108">
        <f>SUM(L93-I93)/I93</f>
        <v>2.8979687937840962E-2</v>
      </c>
      <c r="L93" s="105">
        <v>9.5650000000000006E-3</v>
      </c>
      <c r="M93" s="106">
        <f>SUM((N93-L93)/L93)</f>
        <v>-3.2263460533194024E-2</v>
      </c>
      <c r="N93" s="105">
        <v>9.2563999999999997E-3</v>
      </c>
      <c r="O93" s="168">
        <f>SUM(P95-N95)/N95</f>
        <v>4.0282402070482212E-3</v>
      </c>
      <c r="P93" s="293">
        <f>10511.16/1137998</f>
        <v>9.2365364438250323E-3</v>
      </c>
      <c r="Q93" s="294">
        <f>SUM((R93-P93)/P93)</f>
        <v>-1.8816592966751575E-3</v>
      </c>
      <c r="R93" s="293">
        <f>11256.59/1221000</f>
        <v>9.2191564291564301E-3</v>
      </c>
      <c r="S93" s="294">
        <f>SUM((T93-R93)/R93)</f>
        <v>-2.2718064081654575E-3</v>
      </c>
      <c r="T93" s="293">
        <f>13.17184/T92</f>
        <v>9.1982122905027927E-3</v>
      </c>
      <c r="U93" s="305">
        <f>$U$30</f>
        <v>0</v>
      </c>
      <c r="V93" s="318">
        <f>SUM(T93*(1+U93))</f>
        <v>9.1982122905027927E-3</v>
      </c>
      <c r="W93" s="305">
        <f>$W$30</f>
        <v>0</v>
      </c>
      <c r="X93" s="318">
        <f>SUM(V93*(1+W93))</f>
        <v>9.1982122905027927E-3</v>
      </c>
      <c r="Y93" s="305">
        <f>$Y$30</f>
        <v>0.02</v>
      </c>
      <c r="Z93" s="318">
        <f>SUM(X93*(1+Y93))</f>
        <v>9.382176536312849E-3</v>
      </c>
      <c r="AA93" s="318">
        <f>SUM(Z93*(1+Y93))</f>
        <v>9.5698200670391066E-3</v>
      </c>
      <c r="AB93" s="318">
        <f>SUM(AA93*(1+Y93))</f>
        <v>9.7612164683798883E-3</v>
      </c>
    </row>
    <row r="94" spans="1:28" x14ac:dyDescent="0.3">
      <c r="A94" s="56"/>
      <c r="C94" s="110"/>
      <c r="E94" s="110"/>
      <c r="G94" s="110"/>
      <c r="I94" s="110"/>
      <c r="J94" s="139"/>
      <c r="K94" s="71"/>
      <c r="L94" s="110"/>
      <c r="M94" s="111"/>
      <c r="N94" s="110"/>
      <c r="O94" s="139"/>
      <c r="P94" s="139"/>
      <c r="Q94" s="73"/>
      <c r="R94" s="139"/>
      <c r="S94" s="73"/>
      <c r="T94" s="139"/>
      <c r="U94" s="73"/>
      <c r="V94" s="319"/>
      <c r="W94" s="73"/>
      <c r="X94" s="319"/>
      <c r="Y94" s="73"/>
      <c r="Z94" s="319"/>
      <c r="AA94" s="319"/>
      <c r="AB94" s="319"/>
    </row>
    <row r="95" spans="1:28" x14ac:dyDescent="0.3">
      <c r="A95" s="52" t="s">
        <v>45</v>
      </c>
      <c r="C95" s="178">
        <f>SUM(C92*C93)</f>
        <v>8.1994721576394003</v>
      </c>
      <c r="E95" s="178">
        <f>SUM(E92*E93)</f>
        <v>8.6360178140432993</v>
      </c>
      <c r="G95" s="178">
        <f t="shared" ref="G95:I95" si="58">SUM(G92*G93)</f>
        <v>8.2702146414089999</v>
      </c>
      <c r="I95" s="178">
        <f t="shared" si="58"/>
        <v>9.3172825078781703</v>
      </c>
      <c r="J95" s="179"/>
      <c r="K95" s="180"/>
      <c r="L95" s="178">
        <f t="shared" ref="L95:AA95" si="59">SUM(L92*L93)</f>
        <v>11.382350000000001</v>
      </c>
      <c r="M95" s="181"/>
      <c r="N95" s="182">
        <f t="shared" si="59"/>
        <v>10.468988399999999</v>
      </c>
      <c r="O95" s="183"/>
      <c r="P95" s="183">
        <f t="shared" si="59"/>
        <v>10.51116</v>
      </c>
      <c r="Q95" s="55"/>
      <c r="R95" s="183">
        <f t="shared" ref="R95" si="60">SUM(R92*R93)</f>
        <v>11.256590000000001</v>
      </c>
      <c r="S95" s="55"/>
      <c r="T95" s="183">
        <f>SUM(T92*T93)</f>
        <v>13.17184</v>
      </c>
      <c r="U95" s="55"/>
      <c r="V95" s="328">
        <f t="shared" si="59"/>
        <v>13.17184</v>
      </c>
      <c r="W95" s="55"/>
      <c r="X95" s="328">
        <f t="shared" si="59"/>
        <v>13.17184</v>
      </c>
      <c r="Y95" s="55"/>
      <c r="Z95" s="328">
        <f t="shared" si="59"/>
        <v>13.4352768</v>
      </c>
      <c r="AA95" s="328">
        <f t="shared" si="59"/>
        <v>13.703982336000001</v>
      </c>
      <c r="AB95" s="328">
        <f>SUM(AB92*AB93)</f>
        <v>13.97806198272</v>
      </c>
    </row>
    <row r="96" spans="1:28" x14ac:dyDescent="0.3">
      <c r="A96" s="170"/>
      <c r="C96" s="184"/>
      <c r="E96" s="171"/>
      <c r="I96" s="172"/>
      <c r="J96" s="172"/>
      <c r="K96" s="172"/>
      <c r="L96" s="172"/>
      <c r="M96" s="171"/>
      <c r="N96" s="171"/>
      <c r="O96" s="171"/>
      <c r="P96" s="171"/>
      <c r="Q96" s="172"/>
      <c r="R96" s="171"/>
      <c r="S96" s="172"/>
      <c r="T96" s="171"/>
      <c r="U96" s="172"/>
      <c r="V96" s="171"/>
      <c r="W96" s="172"/>
      <c r="X96" s="171"/>
      <c r="Y96" s="172"/>
      <c r="Z96" s="171"/>
      <c r="AA96" s="171"/>
      <c r="AB96" s="171"/>
    </row>
    <row r="97" spans="1:28" x14ac:dyDescent="0.3">
      <c r="A97" s="185" t="s">
        <v>66</v>
      </c>
      <c r="C97" s="186" t="s">
        <v>67</v>
      </c>
      <c r="E97" s="186" t="s">
        <v>68</v>
      </c>
      <c r="G97" s="186" t="s">
        <v>69</v>
      </c>
      <c r="I97" s="186" t="s">
        <v>70</v>
      </c>
      <c r="J97" s="187"/>
      <c r="K97" s="188"/>
      <c r="L97" s="186" t="s">
        <v>71</v>
      </c>
      <c r="M97" s="189"/>
      <c r="N97" s="186" t="s">
        <v>72</v>
      </c>
      <c r="O97" s="120"/>
      <c r="P97" s="187" t="s">
        <v>73</v>
      </c>
      <c r="Q97" s="174"/>
      <c r="R97" s="187" t="s">
        <v>133</v>
      </c>
      <c r="S97" s="174"/>
      <c r="T97" s="120" t="s">
        <v>150</v>
      </c>
      <c r="U97" s="174"/>
      <c r="V97" s="301" t="s">
        <v>74</v>
      </c>
      <c r="W97" s="174"/>
      <c r="X97" s="301" t="s">
        <v>136</v>
      </c>
      <c r="Y97" s="174"/>
      <c r="Z97" s="301" t="s">
        <v>137</v>
      </c>
      <c r="AA97" s="301" t="s">
        <v>138</v>
      </c>
      <c r="AB97" s="301" t="str">
        <f>$AB$10</f>
        <v>2023 Estimate</v>
      </c>
    </row>
    <row r="98" spans="1:28" x14ac:dyDescent="0.3">
      <c r="A98" s="190"/>
      <c r="C98" s="45" t="s">
        <v>78</v>
      </c>
      <c r="E98" s="45" t="s">
        <v>78</v>
      </c>
      <c r="G98" s="45" t="s">
        <v>78</v>
      </c>
      <c r="I98" s="191" t="s">
        <v>78</v>
      </c>
      <c r="J98" s="146"/>
      <c r="K98" s="172"/>
      <c r="L98" s="191" t="s">
        <v>78</v>
      </c>
      <c r="M98" s="42"/>
      <c r="N98" s="45" t="s">
        <v>78</v>
      </c>
      <c r="O98" s="46"/>
      <c r="P98" s="42" t="s">
        <v>78</v>
      </c>
      <c r="Q98" s="47"/>
      <c r="R98" s="42" t="s">
        <v>78</v>
      </c>
      <c r="S98" s="47"/>
      <c r="T98" s="42" t="s">
        <v>78</v>
      </c>
      <c r="U98" s="47"/>
      <c r="V98" s="308" t="s">
        <v>78</v>
      </c>
      <c r="W98" s="47"/>
      <c r="X98" s="308" t="s">
        <v>78</v>
      </c>
      <c r="Y98" s="47"/>
      <c r="Z98" s="308" t="s">
        <v>78</v>
      </c>
      <c r="AA98" s="308" t="s">
        <v>78</v>
      </c>
      <c r="AB98" s="308" t="s">
        <v>78</v>
      </c>
    </row>
    <row r="99" spans="1:28" hidden="1" x14ac:dyDescent="0.3">
      <c r="A99" s="190"/>
      <c r="C99" s="192"/>
      <c r="E99" s="45"/>
      <c r="G99" s="45"/>
      <c r="I99" s="45"/>
      <c r="J99" s="146"/>
      <c r="K99" s="172"/>
      <c r="L99" s="45"/>
      <c r="M99" s="42"/>
      <c r="N99" s="45"/>
      <c r="O99" s="46"/>
      <c r="P99" s="42"/>
      <c r="Q99" s="47"/>
      <c r="R99" s="42"/>
      <c r="S99" s="47"/>
      <c r="T99" s="42"/>
      <c r="U99" s="47"/>
      <c r="V99" s="308"/>
      <c r="W99" s="47"/>
      <c r="X99" s="308"/>
      <c r="Y99" s="47"/>
      <c r="Z99" s="308"/>
      <c r="AA99" s="308"/>
      <c r="AB99" s="308"/>
    </row>
    <row r="100" spans="1:28" x14ac:dyDescent="0.3">
      <c r="A100" s="190"/>
      <c r="C100" s="192"/>
      <c r="E100" s="45"/>
      <c r="G100" s="45"/>
      <c r="I100" s="45"/>
      <c r="J100" s="146"/>
      <c r="K100" s="172"/>
      <c r="L100" s="45"/>
      <c r="M100" s="42"/>
      <c r="N100" s="45"/>
      <c r="O100" s="46"/>
      <c r="P100" s="46"/>
      <c r="Q100" s="47"/>
      <c r="R100" s="46"/>
      <c r="S100" s="47"/>
      <c r="T100" s="46"/>
      <c r="U100" s="47"/>
      <c r="V100" s="308"/>
      <c r="W100" s="47"/>
      <c r="X100" s="308"/>
      <c r="Y100" s="47"/>
      <c r="Z100" s="308"/>
      <c r="AA100" s="308"/>
      <c r="AB100" s="308"/>
    </row>
    <row r="101" spans="1:28" x14ac:dyDescent="0.3">
      <c r="A101" s="119" t="s">
        <v>42</v>
      </c>
      <c r="C101" s="193">
        <v>104359</v>
      </c>
      <c r="E101" s="193">
        <v>115700</v>
      </c>
      <c r="G101" s="193">
        <v>110212</v>
      </c>
      <c r="I101" s="193">
        <v>127298</v>
      </c>
      <c r="J101" s="194"/>
      <c r="K101" s="195"/>
      <c r="L101" s="193">
        <v>151210</v>
      </c>
      <c r="M101" s="196"/>
      <c r="N101" s="193">
        <v>151669</v>
      </c>
      <c r="O101" s="197"/>
      <c r="P101" s="197">
        <v>152662</v>
      </c>
      <c r="Q101" s="175"/>
      <c r="R101" s="197">
        <v>172179</v>
      </c>
      <c r="S101" s="175"/>
      <c r="T101" s="197">
        <v>202468</v>
      </c>
      <c r="U101" s="175"/>
      <c r="V101" s="329">
        <f>SUM(T101:T103)</f>
        <v>202468</v>
      </c>
      <c r="W101" s="175"/>
      <c r="X101" s="329">
        <f>SUM(V101:V103)</f>
        <v>202468</v>
      </c>
      <c r="Y101" s="175"/>
      <c r="Z101" s="329">
        <f>SUM(X101:X103)</f>
        <v>202468</v>
      </c>
      <c r="AA101" s="329">
        <f t="shared" ref="AA101" si="61">SUM(Z101:Z103)</f>
        <v>202468</v>
      </c>
      <c r="AB101" s="329">
        <f>SUM(AA101:AA103)</f>
        <v>202468</v>
      </c>
    </row>
    <row r="102" spans="1:28" x14ac:dyDescent="0.3">
      <c r="A102" s="119" t="s">
        <v>32</v>
      </c>
      <c r="C102" s="69">
        <v>0</v>
      </c>
      <c r="E102" s="69"/>
      <c r="G102" s="69"/>
      <c r="I102" s="69"/>
      <c r="J102" s="198"/>
      <c r="K102" s="199"/>
      <c r="L102" s="75"/>
      <c r="M102" s="72"/>
      <c r="N102" s="69"/>
      <c r="O102" s="70"/>
      <c r="P102" s="70"/>
      <c r="Q102" s="73"/>
      <c r="R102" s="70"/>
      <c r="S102" s="73"/>
      <c r="T102" s="70"/>
      <c r="U102" s="73"/>
      <c r="V102" s="313">
        <v>0</v>
      </c>
      <c r="W102" s="73"/>
      <c r="X102" s="313">
        <v>0</v>
      </c>
      <c r="Y102" s="73"/>
      <c r="Z102" s="313">
        <v>0</v>
      </c>
      <c r="AA102" s="313">
        <v>0</v>
      </c>
      <c r="AB102" s="313">
        <v>0</v>
      </c>
    </row>
    <row r="103" spans="1:28" x14ac:dyDescent="0.3">
      <c r="A103" s="119" t="s">
        <v>79</v>
      </c>
      <c r="C103" s="69"/>
      <c r="E103" s="69"/>
      <c r="G103" s="69"/>
      <c r="I103" s="69"/>
      <c r="J103" s="198"/>
      <c r="K103" s="199"/>
      <c r="L103" s="75"/>
      <c r="M103" s="72"/>
      <c r="N103" s="69"/>
      <c r="O103" s="70"/>
      <c r="P103" s="70"/>
      <c r="Q103" s="73"/>
      <c r="R103" s="70">
        <v>0</v>
      </c>
      <c r="S103" s="73"/>
      <c r="T103" s="70">
        <v>0</v>
      </c>
      <c r="U103" s="73"/>
      <c r="V103" s="313">
        <v>0</v>
      </c>
      <c r="W103" s="73"/>
      <c r="X103" s="313">
        <v>0</v>
      </c>
      <c r="Y103" s="73"/>
      <c r="Z103" s="313">
        <v>0</v>
      </c>
      <c r="AA103" s="313">
        <v>0</v>
      </c>
      <c r="AB103" s="313">
        <v>0</v>
      </c>
    </row>
    <row r="104" spans="1:28" x14ac:dyDescent="0.3">
      <c r="A104" s="119" t="s">
        <v>80</v>
      </c>
      <c r="C104" s="200"/>
      <c r="E104" s="200"/>
      <c r="G104" s="200"/>
      <c r="I104" s="200">
        <v>0</v>
      </c>
      <c r="J104" s="201"/>
      <c r="K104" s="199"/>
      <c r="L104" s="202"/>
      <c r="M104" s="203"/>
      <c r="N104" s="200"/>
      <c r="O104" s="204"/>
      <c r="P104" s="204"/>
      <c r="Q104" s="73"/>
      <c r="R104" s="204">
        <v>0</v>
      </c>
      <c r="S104" s="73"/>
      <c r="T104" s="204">
        <v>0</v>
      </c>
      <c r="U104" s="73"/>
      <c r="V104" s="330">
        <v>0</v>
      </c>
      <c r="W104" s="73"/>
      <c r="X104" s="330">
        <v>0</v>
      </c>
      <c r="Y104" s="73"/>
      <c r="Z104" s="330">
        <v>0</v>
      </c>
      <c r="AA104" s="330">
        <v>0</v>
      </c>
      <c r="AB104" s="330">
        <v>0</v>
      </c>
    </row>
    <row r="105" spans="1:28" x14ac:dyDescent="0.3">
      <c r="A105" s="119" t="s">
        <v>38</v>
      </c>
      <c r="C105" s="205" t="s">
        <v>81</v>
      </c>
      <c r="E105" s="205" t="s">
        <v>81</v>
      </c>
      <c r="G105" s="205" t="s">
        <v>81</v>
      </c>
      <c r="I105" s="205" t="s">
        <v>81</v>
      </c>
      <c r="J105" s="206"/>
      <c r="K105" s="199"/>
      <c r="L105" s="207" t="s">
        <v>81</v>
      </c>
      <c r="M105" s="203"/>
      <c r="N105" s="205" t="s">
        <v>81</v>
      </c>
      <c r="O105" s="208"/>
      <c r="P105" s="208" t="s">
        <v>81</v>
      </c>
      <c r="Q105" s="174"/>
      <c r="R105" s="208" t="s">
        <v>81</v>
      </c>
      <c r="S105" s="174"/>
      <c r="T105" s="208" t="s">
        <v>81</v>
      </c>
      <c r="U105" s="174"/>
      <c r="V105" s="331" t="s">
        <v>81</v>
      </c>
      <c r="W105" s="174"/>
      <c r="X105" s="331" t="s">
        <v>81</v>
      </c>
      <c r="Y105" s="174"/>
      <c r="Z105" s="331" t="s">
        <v>81</v>
      </c>
      <c r="AA105" s="331" t="s">
        <v>81</v>
      </c>
      <c r="AB105" s="331" t="s">
        <v>81</v>
      </c>
    </row>
    <row r="106" spans="1:28" x14ac:dyDescent="0.3">
      <c r="A106" s="119" t="s">
        <v>82</v>
      </c>
      <c r="C106" s="209">
        <v>0</v>
      </c>
      <c r="E106" s="209">
        <v>0</v>
      </c>
      <c r="G106" s="209">
        <v>0</v>
      </c>
      <c r="I106" s="209">
        <v>0</v>
      </c>
      <c r="J106" s="210"/>
      <c r="K106" s="199"/>
      <c r="L106" s="211">
        <v>0</v>
      </c>
      <c r="M106" s="203"/>
      <c r="N106" s="209">
        <v>0</v>
      </c>
      <c r="O106" s="212"/>
      <c r="P106" s="212">
        <v>0</v>
      </c>
      <c r="Q106" s="152"/>
      <c r="R106" s="212">
        <v>0</v>
      </c>
      <c r="S106" s="152"/>
      <c r="T106" s="212">
        <v>0</v>
      </c>
      <c r="U106" s="152"/>
      <c r="V106" s="332">
        <v>0</v>
      </c>
      <c r="W106" s="152"/>
      <c r="X106" s="332">
        <v>0</v>
      </c>
      <c r="Y106" s="152"/>
      <c r="Z106" s="332">
        <v>0</v>
      </c>
      <c r="AA106" s="332">
        <v>0</v>
      </c>
      <c r="AB106" s="332">
        <v>0</v>
      </c>
    </row>
    <row r="107" spans="1:28" x14ac:dyDescent="0.3">
      <c r="A107" s="140" t="s">
        <v>83</v>
      </c>
      <c r="C107" s="213"/>
      <c r="E107" s="213"/>
      <c r="G107" s="213"/>
      <c r="I107" s="213"/>
      <c r="J107" s="214"/>
      <c r="K107" s="199"/>
      <c r="L107" s="215"/>
      <c r="M107" s="203"/>
      <c r="N107" s="213"/>
      <c r="O107" s="216"/>
      <c r="P107" s="216"/>
      <c r="Q107" s="152"/>
      <c r="R107" s="216"/>
      <c r="S107" s="152"/>
      <c r="T107" s="216"/>
      <c r="U107" s="152"/>
      <c r="V107" s="333"/>
      <c r="W107" s="152"/>
      <c r="X107" s="333"/>
      <c r="Y107" s="152"/>
      <c r="Z107" s="333"/>
      <c r="AA107" s="333"/>
      <c r="AB107" s="333"/>
    </row>
    <row r="108" spans="1:28" x14ac:dyDescent="0.3">
      <c r="A108" s="119" t="s">
        <v>84</v>
      </c>
      <c r="B108" s="168"/>
      <c r="C108" s="105">
        <f>1842880.17/104359000</f>
        <v>1.7659043973207868E-2</v>
      </c>
      <c r="D108" s="106">
        <f>SUM(E108-C108)/E108</f>
        <v>-6.6797886391917281E-3</v>
      </c>
      <c r="E108" s="105">
        <f>+(2013367.9)/(114775000)</f>
        <v>1.7541868002613807E-2</v>
      </c>
      <c r="F108" s="106">
        <f>SUM(G108-E108)/G108</f>
        <v>-7.516397829751751E-3</v>
      </c>
      <c r="G108" s="105">
        <v>1.7410999999999999E-2</v>
      </c>
      <c r="H108" s="106">
        <f>SUM(I108-G108)/G108</f>
        <v>-1.2155474878995879E-2</v>
      </c>
      <c r="I108" s="105">
        <f>2189444.26/127298000</f>
        <v>1.7199361026881802E-2</v>
      </c>
      <c r="J108" s="137"/>
      <c r="K108" s="106">
        <f>SUM(L108-I108)/I108</f>
        <v>-2.8796838525869704E-2</v>
      </c>
      <c r="L108" s="105">
        <f>2525823/151210000</f>
        <v>1.670407380464255E-2</v>
      </c>
      <c r="M108" s="108">
        <f>SUM((N108-L108)/L108)</f>
        <v>6.8625546604017693E-2</v>
      </c>
      <c r="N108" s="104">
        <v>1.7850399999999999E-2</v>
      </c>
      <c r="O108" s="217">
        <f>SUM(P111-N111)/N111</f>
        <v>-7.1049071208625469E-2</v>
      </c>
      <c r="P108" s="293">
        <f>2514997.45/152662000</f>
        <v>1.6474286004375682E-2</v>
      </c>
      <c r="Q108" s="294">
        <f>SUM((R108-P108)/P108)</f>
        <v>4.2175480238511809E-2</v>
      </c>
      <c r="R108" s="293">
        <f>2956157.94/172179000</f>
        <v>1.716909692819682E-2</v>
      </c>
      <c r="S108" s="294">
        <f>SUM((T108-R108)/R108)</f>
        <v>8.8700293481808298E-4</v>
      </c>
      <c r="T108" s="293">
        <f>3479.27611/T101</f>
        <v>1.7184325967560306E-2</v>
      </c>
      <c r="U108" s="305">
        <f>$U$30</f>
        <v>0</v>
      </c>
      <c r="V108" s="318">
        <f>SUM(T108*(1+U108))</f>
        <v>1.7184325967560306E-2</v>
      </c>
      <c r="W108" s="305">
        <f>$W$30</f>
        <v>0</v>
      </c>
      <c r="X108" s="318">
        <f>SUM(V108*(1+W108))</f>
        <v>1.7184325967560306E-2</v>
      </c>
      <c r="Y108" s="305">
        <f>$Y$30</f>
        <v>0.02</v>
      </c>
      <c r="Z108" s="318">
        <f>SUM(X108*(1+Y108))</f>
        <v>1.7528012486911514E-2</v>
      </c>
      <c r="AA108" s="318">
        <f>SUM(Z108*(1+Y108))</f>
        <v>1.7878572736649744E-2</v>
      </c>
      <c r="AB108" s="318">
        <f>SUM(AA108*(1+Y108))</f>
        <v>1.8236144191382739E-2</v>
      </c>
    </row>
    <row r="109" spans="1:28" x14ac:dyDescent="0.3">
      <c r="A109" s="119" t="s">
        <v>85</v>
      </c>
      <c r="C109" s="218">
        <v>1</v>
      </c>
      <c r="E109" s="218">
        <v>1</v>
      </c>
      <c r="G109" s="218">
        <v>1</v>
      </c>
      <c r="I109" s="218">
        <v>1</v>
      </c>
      <c r="J109" s="219"/>
      <c r="K109" s="195"/>
      <c r="L109" s="218">
        <v>1</v>
      </c>
      <c r="M109" s="203"/>
      <c r="N109" s="218">
        <v>1</v>
      </c>
      <c r="O109" s="220"/>
      <c r="P109" s="220">
        <v>1</v>
      </c>
      <c r="Q109" s="152"/>
      <c r="R109" s="220">
        <v>1</v>
      </c>
      <c r="S109" s="152"/>
      <c r="T109" s="220">
        <v>1</v>
      </c>
      <c r="U109" s="152"/>
      <c r="V109" s="334">
        <v>1</v>
      </c>
      <c r="W109" s="152"/>
      <c r="X109" s="334">
        <v>1</v>
      </c>
      <c r="Y109" s="152"/>
      <c r="Z109" s="334">
        <v>1</v>
      </c>
      <c r="AA109" s="334">
        <v>1</v>
      </c>
      <c r="AB109" s="334">
        <v>1</v>
      </c>
    </row>
    <row r="110" spans="1:28" x14ac:dyDescent="0.3">
      <c r="A110" s="119" t="s">
        <v>86</v>
      </c>
      <c r="C110" s="221"/>
      <c r="E110" s="221"/>
      <c r="G110" s="221"/>
      <c r="I110" s="221"/>
      <c r="J110" s="219"/>
      <c r="K110" s="195"/>
      <c r="L110" s="221"/>
      <c r="M110" s="203"/>
      <c r="N110" s="221"/>
      <c r="O110" s="222"/>
      <c r="P110" s="222"/>
      <c r="Q110" s="55"/>
      <c r="R110" s="222"/>
      <c r="S110" s="55"/>
      <c r="T110" s="222"/>
      <c r="U110" s="55"/>
      <c r="V110" s="335"/>
      <c r="W110" s="55"/>
      <c r="X110" s="335"/>
      <c r="Y110" s="55"/>
      <c r="Z110" s="335"/>
      <c r="AA110" s="335"/>
      <c r="AB110" s="335"/>
    </row>
    <row r="111" spans="1:28" x14ac:dyDescent="0.3">
      <c r="A111" s="140"/>
      <c r="C111" s="178">
        <f>SUM(C101:C104)*C108*C109</f>
        <v>1842.8801699999999</v>
      </c>
      <c r="E111" s="178">
        <f>SUM(E101:E105)*E108*E109</f>
        <v>2029.5941279024175</v>
      </c>
      <c r="G111" s="178">
        <f t="shared" ref="G111:I111" si="62">SUM(G101:G105)*G108*G109</f>
        <v>1918.901132</v>
      </c>
      <c r="I111" s="178">
        <f t="shared" si="62"/>
        <v>2189.4442599999998</v>
      </c>
      <c r="J111" s="223"/>
      <c r="K111" s="224"/>
      <c r="L111" s="178">
        <f>SUM(L101*L108)</f>
        <v>2525.8229999999999</v>
      </c>
      <c r="M111" s="203"/>
      <c r="N111" s="182">
        <f t="shared" ref="N111" si="63">SUM(N101:N105)*N108*N109</f>
        <v>2707.3523175999999</v>
      </c>
      <c r="O111" s="183"/>
      <c r="P111" s="179">
        <f t="shared" ref="P111" si="64">SUM(P101:P105)*P108*P109</f>
        <v>2514.9974500000003</v>
      </c>
      <c r="Q111" s="55"/>
      <c r="R111" s="179">
        <f>SUM(R101:R105)*R108*R109</f>
        <v>2956.1579400000001</v>
      </c>
      <c r="S111" s="55"/>
      <c r="T111" s="179">
        <f>SUM(T101:T105)*T108*T109</f>
        <v>3479.2761100000002</v>
      </c>
      <c r="U111" s="55"/>
      <c r="V111" s="336">
        <f t="shared" ref="V111:Z111" si="65">SUM(V101:V105)*V108*V109</f>
        <v>3479.2761100000002</v>
      </c>
      <c r="W111" s="55"/>
      <c r="X111" s="336">
        <f t="shared" si="65"/>
        <v>3479.2761100000002</v>
      </c>
      <c r="Y111" s="55"/>
      <c r="Z111" s="336">
        <f t="shared" si="65"/>
        <v>3548.8616322000003</v>
      </c>
      <c r="AA111" s="336">
        <f>SUM(AA101:AA105)*AA108*AA109</f>
        <v>3619.8388648440005</v>
      </c>
      <c r="AB111" s="336">
        <f>SUM(AB101:AB105)*AB108*AB109</f>
        <v>3692.2356421408804</v>
      </c>
    </row>
    <row r="112" spans="1:28" x14ac:dyDescent="0.3">
      <c r="A112" s="142"/>
      <c r="C112" s="184"/>
      <c r="E112" s="171"/>
      <c r="G112" s="171"/>
      <c r="H112" s="2"/>
      <c r="I112" s="171"/>
      <c r="J112" s="171"/>
      <c r="K112" s="172"/>
      <c r="L112" s="172"/>
      <c r="M112" s="203"/>
      <c r="N112" s="171"/>
      <c r="O112" s="171"/>
      <c r="P112" s="171"/>
      <c r="Q112" s="172"/>
      <c r="R112" s="171"/>
      <c r="S112" s="172"/>
      <c r="T112" s="171"/>
      <c r="U112" s="172"/>
      <c r="V112" s="171"/>
      <c r="W112" s="172"/>
      <c r="X112" s="171"/>
      <c r="Y112" s="172"/>
      <c r="Z112" s="171"/>
      <c r="AA112" s="171"/>
      <c r="AB112" s="171"/>
    </row>
    <row r="113" spans="1:28" x14ac:dyDescent="0.3">
      <c r="A113" s="170"/>
      <c r="C113" s="143"/>
      <c r="E113" s="144"/>
      <c r="G113" s="144"/>
      <c r="H113" s="2"/>
      <c r="I113" s="144"/>
      <c r="J113" s="144"/>
      <c r="K113" s="145"/>
      <c r="L113" s="144"/>
      <c r="M113" s="144"/>
      <c r="N113" s="144"/>
      <c r="O113" s="144"/>
      <c r="P113" s="144"/>
      <c r="Q113" s="145"/>
      <c r="R113" s="144"/>
      <c r="S113" s="145"/>
      <c r="T113" s="144"/>
      <c r="U113" s="145"/>
      <c r="V113" s="144"/>
      <c r="W113" s="145"/>
      <c r="X113" s="144"/>
      <c r="Y113" s="145"/>
      <c r="Z113" s="144"/>
      <c r="AA113" s="144"/>
      <c r="AB113" s="144"/>
    </row>
    <row r="114" spans="1:28" x14ac:dyDescent="0.3">
      <c r="A114" s="121" t="s">
        <v>87</v>
      </c>
      <c r="C114" s="57" t="s">
        <v>88</v>
      </c>
      <c r="E114" s="57" t="s">
        <v>20</v>
      </c>
      <c r="G114" s="57" t="s">
        <v>21</v>
      </c>
      <c r="I114" s="57" t="s">
        <v>89</v>
      </c>
      <c r="J114" s="58"/>
      <c r="K114" s="59"/>
      <c r="L114" s="57" t="s">
        <v>90</v>
      </c>
      <c r="M114" s="58"/>
      <c r="N114" s="57" t="s">
        <v>91</v>
      </c>
      <c r="O114" s="58"/>
      <c r="P114" s="120" t="s">
        <v>129</v>
      </c>
      <c r="Q114" s="59"/>
      <c r="R114" s="120" t="s">
        <v>131</v>
      </c>
      <c r="S114" s="59"/>
      <c r="T114" s="301" t="s">
        <v>25</v>
      </c>
      <c r="U114" s="59"/>
      <c r="V114" s="301" t="s">
        <v>26</v>
      </c>
      <c r="W114" s="59"/>
      <c r="X114" s="301" t="s">
        <v>27</v>
      </c>
      <c r="Y114" s="59"/>
      <c r="Z114" s="301" t="s">
        <v>28</v>
      </c>
      <c r="AA114" s="301" t="s">
        <v>135</v>
      </c>
      <c r="AB114" s="301" t="str">
        <f>$AB$10</f>
        <v>2023 Estimate</v>
      </c>
    </row>
    <row r="115" spans="1:28" x14ac:dyDescent="0.3">
      <c r="A115" s="119"/>
      <c r="C115" s="45"/>
      <c r="E115" s="61"/>
      <c r="G115" s="62"/>
      <c r="I115" s="62"/>
      <c r="J115" s="63"/>
      <c r="K115" s="64"/>
      <c r="L115" s="61"/>
      <c r="M115" s="65"/>
      <c r="N115" s="61"/>
      <c r="O115" s="65"/>
      <c r="P115" s="65"/>
      <c r="Q115" s="64"/>
      <c r="R115" s="65"/>
      <c r="S115" s="64"/>
      <c r="T115" s="65"/>
      <c r="U115" s="64"/>
      <c r="V115" s="321"/>
      <c r="W115" s="64"/>
      <c r="X115" s="321"/>
      <c r="Y115" s="64"/>
      <c r="Z115" s="321"/>
      <c r="AA115" s="321"/>
      <c r="AB115" s="321"/>
    </row>
    <row r="116" spans="1:28" x14ac:dyDescent="0.3">
      <c r="A116" s="119" t="s">
        <v>30</v>
      </c>
      <c r="C116" s="62"/>
      <c r="E116" s="61"/>
      <c r="G116" s="62"/>
      <c r="I116" s="62"/>
      <c r="J116" s="63"/>
      <c r="K116" s="64"/>
      <c r="L116" s="61"/>
      <c r="M116" s="65"/>
      <c r="N116" s="62"/>
      <c r="O116" s="63"/>
      <c r="P116" s="63"/>
      <c r="Q116" s="175"/>
      <c r="R116" s="63"/>
      <c r="S116" s="175"/>
      <c r="T116" s="63"/>
      <c r="U116" s="175"/>
      <c r="V116" s="321"/>
      <c r="W116" s="175"/>
      <c r="X116" s="321"/>
      <c r="Y116" s="175"/>
      <c r="Z116" s="321"/>
      <c r="AA116" s="321"/>
      <c r="AB116" s="321"/>
    </row>
    <row r="117" spans="1:28" x14ac:dyDescent="0.3">
      <c r="A117" s="119" t="s">
        <v>31</v>
      </c>
      <c r="C117" s="69">
        <v>365000</v>
      </c>
      <c r="E117" s="69">
        <v>370000</v>
      </c>
      <c r="G117" s="69">
        <v>400000</v>
      </c>
      <c r="I117" s="69">
        <v>435000</v>
      </c>
      <c r="J117" s="70"/>
      <c r="K117" s="71"/>
      <c r="L117" s="69">
        <v>515000</v>
      </c>
      <c r="M117" s="72"/>
      <c r="N117" s="69">
        <v>500000</v>
      </c>
      <c r="O117" s="70"/>
      <c r="P117" s="70">
        <f>SUM(N117:N119)</f>
        <v>500000</v>
      </c>
      <c r="Q117" s="73"/>
      <c r="R117" s="70">
        <v>550000</v>
      </c>
      <c r="S117" s="73"/>
      <c r="T117" s="70">
        <v>670000</v>
      </c>
      <c r="U117" s="73"/>
      <c r="V117" s="313">
        <f>SUM(T117:T119)</f>
        <v>670000</v>
      </c>
      <c r="W117" s="73"/>
      <c r="X117" s="313">
        <f>SUM(V117:V119)</f>
        <v>708440</v>
      </c>
      <c r="Y117" s="73"/>
      <c r="Z117" s="313">
        <f>SUM(X117:X119)</f>
        <v>756054</v>
      </c>
      <c r="AA117" s="313">
        <f>SUM(Z117:Z119)</f>
        <v>794805</v>
      </c>
      <c r="AB117" s="313">
        <f>SUM(AA117:AA119)</f>
        <v>833898</v>
      </c>
    </row>
    <row r="118" spans="1:28" x14ac:dyDescent="0.3">
      <c r="A118" s="119" t="s">
        <v>32</v>
      </c>
      <c r="C118" s="69"/>
      <c r="E118" s="75"/>
      <c r="G118" s="69"/>
      <c r="I118" s="69"/>
      <c r="J118" s="70"/>
      <c r="K118" s="71"/>
      <c r="L118" s="75"/>
      <c r="M118" s="72"/>
      <c r="N118" s="69"/>
      <c r="O118" s="70"/>
      <c r="P118" s="70"/>
      <c r="Q118" s="73"/>
      <c r="R118" s="70"/>
      <c r="S118" s="73"/>
      <c r="T118" s="70"/>
      <c r="U118" s="73"/>
      <c r="V118" s="154">
        <v>69017</v>
      </c>
      <c r="W118" s="73"/>
      <c r="X118" s="154">
        <v>78191</v>
      </c>
      <c r="Y118" s="73"/>
      <c r="Z118" s="154">
        <v>69328</v>
      </c>
      <c r="AA118" s="154">
        <v>69670</v>
      </c>
      <c r="AB118" s="154">
        <f>AA118</f>
        <v>69670</v>
      </c>
    </row>
    <row r="119" spans="1:28" x14ac:dyDescent="0.3">
      <c r="A119" s="119" t="s">
        <v>92</v>
      </c>
      <c r="C119" s="69"/>
      <c r="E119" s="75"/>
      <c r="G119" s="69"/>
      <c r="I119" s="69"/>
      <c r="J119" s="70"/>
      <c r="K119" s="71"/>
      <c r="L119" s="75"/>
      <c r="M119" s="72"/>
      <c r="N119" s="69"/>
      <c r="O119" s="70"/>
      <c r="P119" s="70"/>
      <c r="Q119" s="73"/>
      <c r="R119" s="70"/>
      <c r="S119" s="73"/>
      <c r="T119" s="70"/>
      <c r="U119" s="73"/>
      <c r="V119" s="154">
        <v>-30577</v>
      </c>
      <c r="W119" s="73"/>
      <c r="X119" s="154">
        <f>V119</f>
        <v>-30577</v>
      </c>
      <c r="Y119" s="73"/>
      <c r="Z119" s="154">
        <f>X119</f>
        <v>-30577</v>
      </c>
      <c r="AA119" s="154">
        <f>Z119</f>
        <v>-30577</v>
      </c>
      <c r="AB119" s="154">
        <f>AA119</f>
        <v>-30577</v>
      </c>
    </row>
    <row r="120" spans="1:28" x14ac:dyDescent="0.3">
      <c r="A120" s="56" t="s">
        <v>122</v>
      </c>
      <c r="C120" s="86">
        <v>0.94630499999999995</v>
      </c>
      <c r="E120" s="86">
        <v>0.96772369999999996</v>
      </c>
      <c r="G120" s="86">
        <f>188890268/195011082</f>
        <v>0.96861299400410483</v>
      </c>
      <c r="I120" s="86">
        <v>0.96685500000000002</v>
      </c>
      <c r="J120" s="87"/>
      <c r="K120" s="71"/>
      <c r="L120" s="86">
        <f>234774025/243990907</f>
        <v>0.96222448568544405</v>
      </c>
      <c r="M120" s="89"/>
      <c r="N120" s="86">
        <f>230552.665/238786.689</f>
        <v>0.96551724036845288</v>
      </c>
      <c r="O120" s="87"/>
      <c r="P120" s="87">
        <f>229911.818/238226.137</f>
        <v>0.96509904788490952</v>
      </c>
      <c r="Q120" s="73"/>
      <c r="R120" s="87">
        <f>246152315/261192469</f>
        <v>0.94241735201025267</v>
      </c>
      <c r="S120" s="73"/>
      <c r="T120" s="87">
        <f>306718192/329741481</f>
        <v>0.93017775946727188</v>
      </c>
      <c r="U120" s="73"/>
      <c r="V120" s="314">
        <f>SUM(T120)</f>
        <v>0.93017775946727188</v>
      </c>
      <c r="W120" s="73"/>
      <c r="X120" s="314">
        <f>SUM(V120)</f>
        <v>0.93017775946727188</v>
      </c>
      <c r="Y120" s="73"/>
      <c r="Z120" s="314">
        <f t="shared" ref="Z120:Z121" si="66">SUM(X120)</f>
        <v>0.93017775946727188</v>
      </c>
      <c r="AA120" s="314">
        <f>SUM(Z120)</f>
        <v>0.93017775946727188</v>
      </c>
      <c r="AB120" s="314">
        <f>SUM(AA120)</f>
        <v>0.93017775946727188</v>
      </c>
    </row>
    <row r="121" spans="1:28" x14ac:dyDescent="0.3">
      <c r="A121" s="56" t="s">
        <v>119</v>
      </c>
      <c r="C121" s="90">
        <v>0.471997</v>
      </c>
      <c r="E121" s="90">
        <v>0.47163899999999997</v>
      </c>
      <c r="G121" s="90">
        <f>195011082/400000000</f>
        <v>0.48752770499999998</v>
      </c>
      <c r="I121" s="90">
        <v>0.47452299999999997</v>
      </c>
      <c r="J121" s="91"/>
      <c r="K121" s="81"/>
      <c r="L121" s="90">
        <f>243990907/515000000</f>
        <v>0.4737687514563107</v>
      </c>
      <c r="M121" s="94"/>
      <c r="N121" s="90">
        <f>238786.689/N117</f>
        <v>0.47757337800000005</v>
      </c>
      <c r="O121" s="91"/>
      <c r="P121" s="91">
        <f>238226.137/P117</f>
        <v>0.47645227399999995</v>
      </c>
      <c r="Q121" s="84"/>
      <c r="R121" s="91">
        <v>0.47489500000000001</v>
      </c>
      <c r="S121" s="84"/>
      <c r="T121" s="91">
        <f>329741481/670000000</f>
        <v>0.49215146417910449</v>
      </c>
      <c r="U121" s="84"/>
      <c r="V121" s="315">
        <f>SUM(T121)</f>
        <v>0.49215146417910449</v>
      </c>
      <c r="W121" s="84"/>
      <c r="X121" s="315">
        <f>SUM(V121)</f>
        <v>0.49215146417910449</v>
      </c>
      <c r="Y121" s="84"/>
      <c r="Z121" s="315">
        <f t="shared" si="66"/>
        <v>0.49215146417910449</v>
      </c>
      <c r="AA121" s="315">
        <f>SUM(Z121)</f>
        <v>0.49215146417910449</v>
      </c>
      <c r="AB121" s="315">
        <f>SUM(AA121)</f>
        <v>0.49215146417910449</v>
      </c>
    </row>
    <row r="122" spans="1:28" x14ac:dyDescent="0.3">
      <c r="A122" s="119" t="s">
        <v>39</v>
      </c>
      <c r="C122" s="69">
        <f>SUM(C117+C118+C119)*C120*C121</f>
        <v>163028.38919602497</v>
      </c>
      <c r="E122" s="69">
        <f>SUM(E117+E118+E119)*E120*E121</f>
        <v>168874.00811339097</v>
      </c>
      <c r="G122" s="69">
        <f t="shared" ref="G122:I122" si="67">SUM(G117+G118+G119)*G120*G121</f>
        <v>188890.26799999998</v>
      </c>
      <c r="I122" s="69">
        <f t="shared" si="67"/>
        <v>199575.79679677499</v>
      </c>
      <c r="J122" s="70"/>
      <c r="K122" s="71"/>
      <c r="L122" s="69">
        <f t="shared" ref="L122:N122" si="68">SUM(L117+L118+L119)*L120*L121</f>
        <v>234774.02500000002</v>
      </c>
      <c r="M122" s="72"/>
      <c r="N122" s="69">
        <f t="shared" si="68"/>
        <v>230552.66500000001</v>
      </c>
      <c r="O122" s="70"/>
      <c r="P122" s="70">
        <f t="shared" ref="P122:Z122" si="69">SUM(P117+P118+P119)*P120*P121</f>
        <v>229911.818</v>
      </c>
      <c r="Q122" s="73"/>
      <c r="R122" s="70">
        <f t="shared" ref="R122" si="70">SUM(R117+R118+R119)*R120*R121</f>
        <v>246152.10861059991</v>
      </c>
      <c r="S122" s="73"/>
      <c r="T122" s="70">
        <f>SUM(T117+T118+T119)*T120*T121</f>
        <v>306718.19200000004</v>
      </c>
      <c r="U122" s="73"/>
      <c r="V122" s="313">
        <f>SUM(V117+V118+V119)*V120*V121</f>
        <v>324315.57603056717</v>
      </c>
      <c r="W122" s="73"/>
      <c r="X122" s="313">
        <f>SUM(X117+X118+X119)*X120*X121</f>
        <v>346112.71034980298</v>
      </c>
      <c r="Y122" s="73"/>
      <c r="Z122" s="313">
        <f t="shared" si="69"/>
        <v>363852.46655605972</v>
      </c>
      <c r="AA122" s="313">
        <f>SUM(AA117+AA118+AA119)*AA120*AA121</f>
        <v>381748.78637674032</v>
      </c>
      <c r="AB122" s="313">
        <f>SUM(AB117+AB118+AB119)*AB120*AB121</f>
        <v>399645.10619742092</v>
      </c>
    </row>
    <row r="123" spans="1:28" x14ac:dyDescent="0.3">
      <c r="A123" s="119" t="s">
        <v>60</v>
      </c>
      <c r="C123" s="69"/>
      <c r="E123" s="225"/>
      <c r="G123" s="69"/>
      <c r="I123" s="69"/>
      <c r="J123" s="70"/>
      <c r="K123" s="71"/>
      <c r="L123" s="69"/>
      <c r="M123" s="72"/>
      <c r="N123" s="69"/>
      <c r="O123" s="70"/>
      <c r="P123" s="70"/>
      <c r="Q123" s="73"/>
      <c r="R123" s="70"/>
      <c r="S123" s="73"/>
      <c r="T123" s="70"/>
      <c r="U123" s="73"/>
      <c r="V123" s="313"/>
      <c r="W123" s="73"/>
      <c r="X123" s="313"/>
      <c r="Y123" s="73"/>
      <c r="Z123" s="313"/>
      <c r="AA123" s="313"/>
      <c r="AB123" s="313"/>
    </row>
    <row r="124" spans="1:28" x14ac:dyDescent="0.3">
      <c r="A124" s="119" t="s">
        <v>41</v>
      </c>
      <c r="C124" s="69">
        <f>SUM(C122)</f>
        <v>163028.38919602497</v>
      </c>
      <c r="E124" s="69">
        <f>SUM(E122)</f>
        <v>168874.00811339097</v>
      </c>
      <c r="G124" s="69">
        <f t="shared" ref="G124:I124" si="71">SUM(G122)</f>
        <v>188890.26799999998</v>
      </c>
      <c r="I124" s="69">
        <f t="shared" si="71"/>
        <v>199575.79679677499</v>
      </c>
      <c r="J124" s="70"/>
      <c r="K124" s="71"/>
      <c r="L124" s="69">
        <f t="shared" ref="L124:AA124" si="72">SUM(L122)</f>
        <v>234774.02500000002</v>
      </c>
      <c r="M124" s="72"/>
      <c r="N124" s="69">
        <f t="shared" si="72"/>
        <v>230552.66500000001</v>
      </c>
      <c r="O124" s="70"/>
      <c r="P124" s="70">
        <f t="shared" si="72"/>
        <v>229911.818</v>
      </c>
      <c r="Q124" s="73"/>
      <c r="R124" s="70">
        <f t="shared" ref="R124" si="73">SUM(R122)</f>
        <v>246152.10861059991</v>
      </c>
      <c r="S124" s="73"/>
      <c r="T124" s="70">
        <f t="shared" si="72"/>
        <v>306718.19200000004</v>
      </c>
      <c r="U124" s="73"/>
      <c r="V124" s="313">
        <f t="shared" si="72"/>
        <v>324315.57603056717</v>
      </c>
      <c r="W124" s="73"/>
      <c r="X124" s="313">
        <f t="shared" si="72"/>
        <v>346112.71034980298</v>
      </c>
      <c r="Y124" s="73"/>
      <c r="Z124" s="313">
        <f t="shared" si="72"/>
        <v>363852.46655605972</v>
      </c>
      <c r="AA124" s="313">
        <f t="shared" si="72"/>
        <v>381748.78637674032</v>
      </c>
      <c r="AB124" s="313">
        <f>SUM(AB122)</f>
        <v>399645.10619742092</v>
      </c>
    </row>
    <row r="125" spans="1:28" x14ac:dyDescent="0.3">
      <c r="A125" s="56" t="s">
        <v>120</v>
      </c>
      <c r="C125" s="69"/>
      <c r="E125" s="69"/>
      <c r="G125" s="69"/>
      <c r="I125" s="69"/>
      <c r="J125" s="70"/>
      <c r="K125" s="71"/>
      <c r="L125" s="69"/>
      <c r="M125" s="72"/>
      <c r="N125" s="69"/>
      <c r="O125" s="70"/>
      <c r="P125" s="70">
        <v>213560.91500000001</v>
      </c>
      <c r="Q125" s="73"/>
      <c r="R125" s="70">
        <v>231762.54759900001</v>
      </c>
      <c r="S125" s="73"/>
      <c r="T125" s="70"/>
      <c r="U125" s="73"/>
      <c r="V125" s="313"/>
      <c r="W125" s="73"/>
      <c r="X125" s="313"/>
      <c r="Y125" s="73"/>
      <c r="Z125" s="313"/>
      <c r="AA125" s="313"/>
      <c r="AB125" s="313"/>
    </row>
    <row r="126" spans="1:28" x14ac:dyDescent="0.3">
      <c r="A126" s="56" t="s">
        <v>121</v>
      </c>
      <c r="B126" s="226"/>
      <c r="C126" s="227">
        <f>148020.988/163028</f>
        <v>0.90794825428760706</v>
      </c>
      <c r="E126" s="227">
        <f>SUM(E127/E124)</f>
        <v>0.90322653973832534</v>
      </c>
      <c r="G126" s="227">
        <f>173803920/188890000</f>
        <v>0.92013298745301497</v>
      </c>
      <c r="I126" s="227">
        <f>189501.264/199576</f>
        <v>0.94951930091794601</v>
      </c>
      <c r="J126" s="228"/>
      <c r="K126" s="81"/>
      <c r="L126" s="227">
        <f>223370.065/L124</f>
        <v>0.95142580189609982</v>
      </c>
      <c r="M126" s="229"/>
      <c r="N126" s="227">
        <f>216345.522/N124</f>
        <v>0.93837788428947455</v>
      </c>
      <c r="O126" s="228"/>
      <c r="P126" s="292">
        <f>P125/P124</f>
        <v>0.92888185069286</v>
      </c>
      <c r="Q126" s="230"/>
      <c r="R126" s="292">
        <f>R125/R124</f>
        <v>0.9415419957488016</v>
      </c>
      <c r="S126" s="230"/>
      <c r="T126" s="302">
        <f>R126</f>
        <v>0.9415419957488016</v>
      </c>
      <c r="U126" s="230"/>
      <c r="V126" s="337">
        <f>SUM(T126)</f>
        <v>0.9415419957488016</v>
      </c>
      <c r="W126" s="230"/>
      <c r="X126" s="337">
        <f>SUM(V126)</f>
        <v>0.9415419957488016</v>
      </c>
      <c r="Y126" s="230"/>
      <c r="Z126" s="337">
        <f>SUM(X126)</f>
        <v>0.9415419957488016</v>
      </c>
      <c r="AA126" s="337">
        <f t="shared" ref="AA126" si="74">SUM(Z126)</f>
        <v>0.9415419957488016</v>
      </c>
      <c r="AB126" s="337">
        <f>SUM(AA126)</f>
        <v>0.9415419957488016</v>
      </c>
    </row>
    <row r="127" spans="1:28" x14ac:dyDescent="0.3">
      <c r="A127" s="56" t="s">
        <v>123</v>
      </c>
      <c r="C127" s="69">
        <f>SUM(C124*C126)</f>
        <v>148021.34136985146</v>
      </c>
      <c r="E127" s="69">
        <v>152531.486</v>
      </c>
      <c r="G127" s="69">
        <f t="shared" ref="G127:I127" si="75">SUM(G124*G126)</f>
        <v>173804.16659564062</v>
      </c>
      <c r="I127" s="69">
        <f t="shared" si="75"/>
        <v>189501.07105461584</v>
      </c>
      <c r="J127" s="70"/>
      <c r="K127" s="71"/>
      <c r="L127" s="69">
        <f t="shared" ref="L127:AA127" si="76">SUM(L124*L126)</f>
        <v>223370.065</v>
      </c>
      <c r="M127" s="72"/>
      <c r="N127" s="69">
        <f t="shared" si="76"/>
        <v>216345.522</v>
      </c>
      <c r="O127" s="231"/>
      <c r="P127" s="70">
        <f t="shared" si="76"/>
        <v>213560.91500000001</v>
      </c>
      <c r="Q127" s="232"/>
      <c r="R127" s="70">
        <f>SUM(R124*R126)</f>
        <v>231762.54759900001</v>
      </c>
      <c r="S127" s="232"/>
      <c r="T127" s="70">
        <f>SUM(T124*T126)</f>
        <v>288788.05862814415</v>
      </c>
      <c r="U127" s="232"/>
      <c r="V127" s="313">
        <f>SUM(V124*V126)</f>
        <v>305356.73470824241</v>
      </c>
      <c r="W127" s="232"/>
      <c r="X127" s="313">
        <f>SUM(X124*X126)</f>
        <v>325879.65205678041</v>
      </c>
      <c r="Y127" s="232"/>
      <c r="Z127" s="313">
        <f t="shared" si="76"/>
        <v>342582.37751931656</v>
      </c>
      <c r="AA127" s="313">
        <f t="shared" si="76"/>
        <v>359432.51419983897</v>
      </c>
      <c r="AB127" s="313">
        <f>SUM(AB124*AB126)</f>
        <v>376282.65088036144</v>
      </c>
    </row>
    <row r="128" spans="1:28" x14ac:dyDescent="0.3">
      <c r="A128" s="56" t="s">
        <v>124</v>
      </c>
      <c r="B128" s="168"/>
      <c r="C128" s="104">
        <v>1.2448000000000001E-2</v>
      </c>
      <c r="D128" s="106">
        <f>SUM(E128-C128)/E128</f>
        <v>2.1152787607139924E-2</v>
      </c>
      <c r="E128" s="105">
        <v>1.2716999999999999E-2</v>
      </c>
      <c r="F128" s="106">
        <f>SUM(G128-E128)/G128</f>
        <v>1.2578616352201311E-2</v>
      </c>
      <c r="G128" s="233">
        <v>1.2879E-2</v>
      </c>
      <c r="H128" s="234">
        <f>SUM((I128-G128)/G128)</f>
        <v>1.5232524017182573E-3</v>
      </c>
      <c r="I128" s="105">
        <f>SUM(I130/I127)</f>
        <v>1.2898617967681729E-2</v>
      </c>
      <c r="J128" s="107"/>
      <c r="K128" s="108">
        <f>SUM(L128-I128)/I128</f>
        <v>2.0893237059376537E-2</v>
      </c>
      <c r="L128" s="105">
        <f>SUM(L130/L127)</f>
        <v>1.3168111850618837E-2</v>
      </c>
      <c r="M128" s="106">
        <f>SUM(N128-L128)/L128</f>
        <v>-2.4622895488339361E-2</v>
      </c>
      <c r="N128" s="105">
        <f>SUM(N130/N127)</f>
        <v>1.2843874808742287E-2</v>
      </c>
      <c r="O128" s="138">
        <f>SUM(P128-N128)/N128</f>
        <v>-7.238054115254829E-3</v>
      </c>
      <c r="P128" s="293">
        <f>2723096/213560912</f>
        <v>1.2750910147827052E-2</v>
      </c>
      <c r="Q128" s="294">
        <f>SUM((R128-P128)/P128)</f>
        <v>2.1525227259517082E-2</v>
      </c>
      <c r="R128" s="293">
        <f>3018794.42/231762548</f>
        <v>1.3025376386524712E-2</v>
      </c>
      <c r="S128" s="305">
        <v>0.02</v>
      </c>
      <c r="T128" s="303">
        <f>SUM(R128*(1+S128))</f>
        <v>1.3285883914255206E-2</v>
      </c>
      <c r="U128" s="305">
        <f>$U$30</f>
        <v>0</v>
      </c>
      <c r="V128" s="318">
        <f>SUM(T128*(1+U128))</f>
        <v>1.3285883914255206E-2</v>
      </c>
      <c r="W128" s="305">
        <f>$W$30</f>
        <v>0</v>
      </c>
      <c r="X128" s="318">
        <f>SUM(V128*(1+W128))</f>
        <v>1.3285883914255206E-2</v>
      </c>
      <c r="Y128" s="305">
        <f>$Y$30</f>
        <v>0.02</v>
      </c>
      <c r="Z128" s="318">
        <f>SUM(X128*(1+Y128))</f>
        <v>1.355160159254031E-2</v>
      </c>
      <c r="AA128" s="318">
        <f>SUM(Z128*(1+Y128))</f>
        <v>1.3822633624391116E-2</v>
      </c>
      <c r="AB128" s="318">
        <f>SUM(AA128*(1+Y128))</f>
        <v>1.4099086296878938E-2</v>
      </c>
    </row>
    <row r="129" spans="1:28" x14ac:dyDescent="0.3">
      <c r="A129" s="56"/>
      <c r="C129" s="109"/>
      <c r="E129" s="110"/>
      <c r="G129" s="109"/>
      <c r="I129" s="109"/>
      <c r="J129" s="111"/>
      <c r="K129" s="71"/>
      <c r="L129" s="109"/>
      <c r="M129" s="111"/>
      <c r="N129" s="110"/>
      <c r="O129" s="111"/>
      <c r="P129" s="139"/>
      <c r="Q129" s="71"/>
      <c r="R129" s="139"/>
      <c r="S129" s="71"/>
      <c r="T129" s="139"/>
      <c r="U129" s="71"/>
      <c r="V129" s="319"/>
      <c r="W129" s="71"/>
      <c r="X129" s="319"/>
      <c r="Y129" s="71"/>
      <c r="Z129" s="319"/>
      <c r="AA129" s="319"/>
      <c r="AB129" s="319"/>
    </row>
    <row r="130" spans="1:28" ht="15" thickBot="1" x14ac:dyDescent="0.35">
      <c r="C130" s="112">
        <v>1843</v>
      </c>
      <c r="E130" s="112">
        <f>SUM(E127*E128)</f>
        <v>1939.7429074619999</v>
      </c>
      <c r="G130" s="112">
        <f t="shared" ref="G130" si="77">SUM(G127*G128)</f>
        <v>2238.4238615852555</v>
      </c>
      <c r="I130" s="112">
        <v>2444.3019199999999</v>
      </c>
      <c r="J130" s="113"/>
      <c r="K130" s="114"/>
      <c r="L130" s="112">
        <v>2941.3620000000001</v>
      </c>
      <c r="M130" s="113"/>
      <c r="N130" s="112">
        <v>2778.7148000000002</v>
      </c>
      <c r="O130" s="113"/>
      <c r="P130" s="141">
        <f>SUM(P127*P128)</f>
        <v>2723.0960382527305</v>
      </c>
      <c r="Q130" s="114"/>
      <c r="R130" s="141">
        <f t="shared" ref="R130" si="78">SUM(R127*R128)</f>
        <v>3018.7944147768244</v>
      </c>
      <c r="S130" s="114"/>
      <c r="T130" s="304">
        <f>SUM(T127*T128)</f>
        <v>3836.8046227566497</v>
      </c>
      <c r="U130" s="114"/>
      <c r="V130" s="320">
        <f t="shared" ref="V130" si="79">SUM(V127*V128)</f>
        <v>4056.9341297697324</v>
      </c>
      <c r="W130" s="114"/>
      <c r="X130" s="320">
        <f>SUM(X127*X128)</f>
        <v>4329.5992272442627</v>
      </c>
      <c r="Y130" s="114"/>
      <c r="Z130" s="320">
        <f>SUM(Z127*Z128)</f>
        <v>4642.5398927670158</v>
      </c>
      <c r="AA130" s="320">
        <f>SUM(AA127*AA128)</f>
        <v>4968.3039564781311</v>
      </c>
      <c r="AB130" s="320">
        <f>SUM(AB127*AB128)</f>
        <v>5305.2415667805853</v>
      </c>
    </row>
    <row r="131" spans="1:28" ht="7.2" customHeight="1" thickTop="1" x14ac:dyDescent="0.3">
      <c r="A131" s="235"/>
      <c r="C131" s="236"/>
      <c r="E131" s="237"/>
      <c r="G131" s="238"/>
      <c r="I131" s="238"/>
      <c r="J131" s="238"/>
      <c r="K131" s="239"/>
      <c r="L131" s="239"/>
      <c r="M131" s="238"/>
      <c r="N131" s="239"/>
      <c r="O131" s="238"/>
      <c r="P131" s="238"/>
      <c r="Q131" s="239"/>
      <c r="R131" s="238"/>
      <c r="S131" s="239"/>
      <c r="T131" s="238"/>
      <c r="U131" s="239"/>
      <c r="V131" s="238"/>
      <c r="W131" s="239"/>
      <c r="X131" s="238"/>
      <c r="Y131" s="239"/>
      <c r="Z131" s="238"/>
      <c r="AA131" s="238"/>
      <c r="AB131" s="238"/>
    </row>
    <row r="132" spans="1:28" x14ac:dyDescent="0.3">
      <c r="A132" s="121" t="s">
        <v>93</v>
      </c>
      <c r="C132" s="57" t="s">
        <v>46</v>
      </c>
      <c r="E132" s="57" t="s">
        <v>20</v>
      </c>
      <c r="G132" s="57" t="s">
        <v>21</v>
      </c>
      <c r="I132" s="57" t="s">
        <v>47</v>
      </c>
      <c r="J132" s="120"/>
      <c r="K132" s="59"/>
      <c r="L132" s="57" t="s">
        <v>48</v>
      </c>
      <c r="M132" s="58"/>
      <c r="N132" s="57" t="s">
        <v>49</v>
      </c>
      <c r="O132" s="58"/>
      <c r="P132" s="120" t="s">
        <v>50</v>
      </c>
      <c r="Q132" s="59"/>
      <c r="R132" s="120" t="s">
        <v>131</v>
      </c>
      <c r="S132" s="59"/>
      <c r="T132" s="120" t="s">
        <v>149</v>
      </c>
      <c r="U132" s="59"/>
      <c r="V132" s="301" t="s">
        <v>26</v>
      </c>
      <c r="W132" s="59"/>
      <c r="X132" s="301" t="s">
        <v>27</v>
      </c>
      <c r="Y132" s="59"/>
      <c r="Z132" s="301" t="s">
        <v>28</v>
      </c>
      <c r="AA132" s="301" t="s">
        <v>135</v>
      </c>
      <c r="AB132" s="301" t="str">
        <f>$AB$10</f>
        <v>2023 Estimate</v>
      </c>
    </row>
    <row r="133" spans="1:28" ht="8.4" customHeight="1" x14ac:dyDescent="0.3">
      <c r="A133" s="240"/>
      <c r="C133" s="45"/>
      <c r="E133" s="61"/>
      <c r="G133" s="62"/>
      <c r="I133" s="62"/>
      <c r="J133" s="63"/>
      <c r="K133" s="64"/>
      <c r="L133" s="61"/>
      <c r="M133" s="65"/>
      <c r="N133" s="61"/>
      <c r="O133" s="65"/>
      <c r="P133" s="65"/>
      <c r="Q133" s="64"/>
      <c r="R133" s="65"/>
      <c r="S133" s="64"/>
      <c r="T133" s="65"/>
      <c r="U133" s="64"/>
      <c r="V133" s="321"/>
      <c r="W133" s="64"/>
      <c r="X133" s="321"/>
      <c r="Y133" s="64"/>
      <c r="Z133" s="321"/>
      <c r="AA133" s="321"/>
      <c r="AB133" s="321"/>
    </row>
    <row r="134" spans="1:28" x14ac:dyDescent="0.3">
      <c r="A134" s="119" t="s">
        <v>30</v>
      </c>
      <c r="C134" s="62"/>
      <c r="E134" s="61"/>
      <c r="G134" s="62"/>
      <c r="I134" s="62"/>
      <c r="J134" s="63"/>
      <c r="K134" s="64"/>
      <c r="L134" s="61"/>
      <c r="M134" s="65"/>
      <c r="N134" s="61"/>
      <c r="O134" s="65"/>
      <c r="P134" s="65"/>
      <c r="Q134" s="64"/>
      <c r="R134" s="65"/>
      <c r="S134" s="64"/>
      <c r="T134" s="65"/>
      <c r="U134" s="64"/>
      <c r="V134" s="321"/>
      <c r="W134" s="64"/>
      <c r="X134" s="321"/>
      <c r="Y134" s="64"/>
      <c r="Z134" s="321"/>
      <c r="AA134" s="321"/>
      <c r="AB134" s="321"/>
    </row>
    <row r="135" spans="1:28" x14ac:dyDescent="0.3">
      <c r="A135" s="119" t="s">
        <v>31</v>
      </c>
      <c r="C135" s="69">
        <v>364953</v>
      </c>
      <c r="E135" s="69">
        <v>369405.65100000001</v>
      </c>
      <c r="G135" s="69">
        <v>424400.88699999999</v>
      </c>
      <c r="I135" s="69">
        <v>451330.43099999998</v>
      </c>
      <c r="J135" s="70"/>
      <c r="K135" s="71"/>
      <c r="L135" s="69">
        <v>489356.26899999997</v>
      </c>
      <c r="M135" s="72"/>
      <c r="N135" s="69">
        <v>510289.36700000003</v>
      </c>
      <c r="O135" s="70"/>
      <c r="P135" s="70">
        <v>558892.69999999995</v>
      </c>
      <c r="Q135" s="73"/>
      <c r="R135" s="70">
        <v>631442.69799999997</v>
      </c>
      <c r="S135" s="73"/>
      <c r="T135" s="70">
        <v>725360.09499999997</v>
      </c>
      <c r="U135" s="73"/>
      <c r="V135" s="313">
        <f>SUM(T135:T137)</f>
        <v>725360.09499999997</v>
      </c>
      <c r="W135" s="73"/>
      <c r="X135" s="313">
        <f>SUM(V135:V137)</f>
        <v>763800.09499999997</v>
      </c>
      <c r="Y135" s="73"/>
      <c r="Z135" s="313">
        <f>SUM(X135:X137)</f>
        <v>811414.09499999997</v>
      </c>
      <c r="AA135" s="313">
        <f>SUM(Z135:Z137)</f>
        <v>850165.09499999997</v>
      </c>
      <c r="AB135" s="313">
        <f>SUM(AA135:AA137)</f>
        <v>889258.09499999997</v>
      </c>
    </row>
    <row r="136" spans="1:28" x14ac:dyDescent="0.3">
      <c r="A136" s="119" t="s">
        <v>32</v>
      </c>
      <c r="C136" s="69"/>
      <c r="E136" s="75"/>
      <c r="G136" s="69"/>
      <c r="I136" s="69"/>
      <c r="J136" s="70"/>
      <c r="K136" s="71"/>
      <c r="L136" s="75"/>
      <c r="M136" s="72"/>
      <c r="N136" s="69"/>
      <c r="O136" s="70"/>
      <c r="P136" s="70"/>
      <c r="Q136" s="73"/>
      <c r="R136" s="70">
        <f>SUM(R118)</f>
        <v>0</v>
      </c>
      <c r="S136" s="73"/>
      <c r="T136" s="70">
        <f>SUM(T118)</f>
        <v>0</v>
      </c>
      <c r="U136" s="73"/>
      <c r="V136" s="313">
        <f t="shared" ref="V136:AA137" si="80">SUM(V118)</f>
        <v>69017</v>
      </c>
      <c r="W136" s="73"/>
      <c r="X136" s="313">
        <f t="shared" si="80"/>
        <v>78191</v>
      </c>
      <c r="Y136" s="73"/>
      <c r="Z136" s="313">
        <f t="shared" si="80"/>
        <v>69328</v>
      </c>
      <c r="AA136" s="313">
        <f t="shared" si="80"/>
        <v>69670</v>
      </c>
      <c r="AB136" s="313">
        <f>SUM(AB118)</f>
        <v>69670</v>
      </c>
    </row>
    <row r="137" spans="1:28" x14ac:dyDescent="0.3">
      <c r="A137" s="119" t="s">
        <v>52</v>
      </c>
      <c r="C137" s="69"/>
      <c r="E137" s="75"/>
      <c r="G137" s="69"/>
      <c r="I137" s="69"/>
      <c r="J137" s="70"/>
      <c r="K137" s="71"/>
      <c r="L137" s="75"/>
      <c r="M137" s="72"/>
      <c r="N137" s="69"/>
      <c r="O137" s="70"/>
      <c r="P137" s="70"/>
      <c r="Q137" s="73"/>
      <c r="R137" s="70">
        <f>SUM(R119)</f>
        <v>0</v>
      </c>
      <c r="S137" s="73"/>
      <c r="T137" s="70">
        <f>SUM(T119)</f>
        <v>0</v>
      </c>
      <c r="U137" s="73"/>
      <c r="V137" s="313">
        <f t="shared" si="80"/>
        <v>-30577</v>
      </c>
      <c r="W137" s="73"/>
      <c r="X137" s="313">
        <f t="shared" si="80"/>
        <v>-30577</v>
      </c>
      <c r="Y137" s="73"/>
      <c r="Z137" s="313">
        <f t="shared" si="80"/>
        <v>-30577</v>
      </c>
      <c r="AA137" s="313">
        <f t="shared" si="80"/>
        <v>-30577</v>
      </c>
      <c r="AB137" s="313">
        <f>SUM(AB119)</f>
        <v>-30577</v>
      </c>
    </row>
    <row r="138" spans="1:28" x14ac:dyDescent="0.3">
      <c r="A138" s="119" t="s">
        <v>37</v>
      </c>
      <c r="C138" s="86">
        <v>1</v>
      </c>
      <c r="E138" s="86">
        <v>1</v>
      </c>
      <c r="G138" s="86">
        <v>1</v>
      </c>
      <c r="I138" s="86">
        <v>1</v>
      </c>
      <c r="J138" s="87"/>
      <c r="K138" s="71"/>
      <c r="L138" s="86">
        <v>1</v>
      </c>
      <c r="M138" s="89"/>
      <c r="N138" s="86">
        <v>1</v>
      </c>
      <c r="O138" s="87"/>
      <c r="P138" s="87">
        <v>1</v>
      </c>
      <c r="Q138" s="73"/>
      <c r="R138" s="87">
        <v>1</v>
      </c>
      <c r="S138" s="73"/>
      <c r="T138" s="87">
        <v>1</v>
      </c>
      <c r="U138" s="73"/>
      <c r="V138" s="314">
        <v>1</v>
      </c>
      <c r="W138" s="73"/>
      <c r="X138" s="314">
        <v>1</v>
      </c>
      <c r="Y138" s="73"/>
      <c r="Z138" s="314">
        <v>1</v>
      </c>
      <c r="AA138" s="314">
        <v>1</v>
      </c>
      <c r="AB138" s="314">
        <v>1</v>
      </c>
    </row>
    <row r="139" spans="1:28" x14ac:dyDescent="0.3">
      <c r="A139" s="119" t="s">
        <v>38</v>
      </c>
      <c r="C139" s="90">
        <v>0.19417899999999999</v>
      </c>
      <c r="E139" s="90">
        <v>0.18853565999999999</v>
      </c>
      <c r="G139" s="90">
        <f>79213073/424400887</f>
        <v>0.18664681301667496</v>
      </c>
      <c r="I139" s="90">
        <f>85831.54/451330.431</f>
        <v>0.1901745021044238</v>
      </c>
      <c r="J139" s="91"/>
      <c r="K139" s="81"/>
      <c r="L139" s="90">
        <v>0.18943473999999999</v>
      </c>
      <c r="M139" s="94"/>
      <c r="N139" s="90">
        <f>96666.593/510289.367</f>
        <v>0.18943485647820679</v>
      </c>
      <c r="O139" s="91"/>
      <c r="P139" s="91">
        <f>103095.598/558892.7</f>
        <v>0.18446402681588078</v>
      </c>
      <c r="Q139" s="84"/>
      <c r="R139" s="91">
        <f>115955848/631442698</f>
        <v>0.18363637487181775</v>
      </c>
      <c r="S139" s="84"/>
      <c r="T139" s="91">
        <f>134625429/725360095</f>
        <v>0.18559806353835884</v>
      </c>
      <c r="U139" s="84"/>
      <c r="V139" s="315">
        <f>SUM(T139)</f>
        <v>0.18559806353835884</v>
      </c>
      <c r="W139" s="84"/>
      <c r="X139" s="315">
        <f>SUM(V139)</f>
        <v>0.18559806353835884</v>
      </c>
      <c r="Y139" s="84"/>
      <c r="Z139" s="315">
        <f>SUM(X139)</f>
        <v>0.18559806353835884</v>
      </c>
      <c r="AA139" s="315">
        <f t="shared" ref="AA139:AB139" si="81">SUM(Z139)</f>
        <v>0.18559806353835884</v>
      </c>
      <c r="AB139" s="315">
        <f t="shared" si="81"/>
        <v>0.18559806353835884</v>
      </c>
    </row>
    <row r="140" spans="1:28" x14ac:dyDescent="0.3">
      <c r="A140" s="119" t="s">
        <v>39</v>
      </c>
      <c r="C140" s="99">
        <f>SUM((C135+C136+C137)*C138*C139)</f>
        <v>70866.208587000001</v>
      </c>
      <c r="E140" s="99">
        <f>SUM((E135+E136+E137)*E138*E139)</f>
        <v>69646.138219014654</v>
      </c>
      <c r="G140" s="99">
        <f t="shared" ref="G140:I140" si="82">SUM((G135+G136+G137)*G138*G139)</f>
        <v>79213.073000000004</v>
      </c>
      <c r="I140" s="99">
        <f t="shared" si="82"/>
        <v>85831.54</v>
      </c>
      <c r="J140" s="100"/>
      <c r="K140" s="101"/>
      <c r="L140" s="99">
        <f t="shared" ref="L140:Z140" si="83">SUM((L135+L136+L137)*L138*L139)</f>
        <v>92701.07758538505</v>
      </c>
      <c r="M140" s="102"/>
      <c r="N140" s="99">
        <f t="shared" si="83"/>
        <v>96666.592999999993</v>
      </c>
      <c r="O140" s="100"/>
      <c r="P140" s="100">
        <f t="shared" si="83"/>
        <v>103095.598</v>
      </c>
      <c r="Q140" s="177"/>
      <c r="R140" s="100">
        <f t="shared" ref="R140" si="84">SUM((R135+R136+R137)*R138*R139)</f>
        <v>115955.848</v>
      </c>
      <c r="S140" s="177"/>
      <c r="T140" s="100">
        <f t="shared" si="83"/>
        <v>134625.429</v>
      </c>
      <c r="U140" s="177"/>
      <c r="V140" s="317">
        <f t="shared" si="83"/>
        <v>141759.8185624145</v>
      </c>
      <c r="W140" s="177"/>
      <c r="X140" s="317">
        <f t="shared" si="83"/>
        <v>150596.88475972993</v>
      </c>
      <c r="Y140" s="177"/>
      <c r="Z140" s="317">
        <f t="shared" si="83"/>
        <v>157788.99531990488</v>
      </c>
      <c r="AA140" s="317">
        <f>SUM((AA135+AA136+AA137)*AA138*AA139)</f>
        <v>165044.58041780992</v>
      </c>
      <c r="AB140" s="317">
        <f>SUM((AB135+AB136+AB137)*AB138*AB139)</f>
        <v>172300.16551571499</v>
      </c>
    </row>
    <row r="141" spans="1:28" x14ac:dyDescent="0.3">
      <c r="A141" s="119" t="s">
        <v>60</v>
      </c>
      <c r="C141" s="78">
        <v>-902</v>
      </c>
      <c r="E141" s="78">
        <v>-925.8</v>
      </c>
      <c r="G141" s="78"/>
      <c r="I141" s="78"/>
      <c r="J141" s="83"/>
      <c r="K141" s="81"/>
      <c r="L141" s="78"/>
      <c r="M141" s="80"/>
      <c r="N141" s="78"/>
      <c r="O141" s="83"/>
      <c r="P141" s="83"/>
      <c r="Q141" s="84"/>
      <c r="R141" s="83"/>
      <c r="S141" s="84"/>
      <c r="T141" s="83">
        <v>-100</v>
      </c>
      <c r="U141" s="84"/>
      <c r="V141" s="323"/>
      <c r="W141" s="84"/>
      <c r="X141" s="323"/>
      <c r="Y141" s="84"/>
      <c r="Z141" s="323"/>
      <c r="AA141" s="323"/>
      <c r="AB141" s="323"/>
    </row>
    <row r="142" spans="1:28" x14ac:dyDescent="0.3">
      <c r="A142" s="119" t="s">
        <v>41</v>
      </c>
      <c r="C142" s="69">
        <f>C140+C141</f>
        <v>69964.208587000001</v>
      </c>
      <c r="E142" s="69">
        <f>SUM(E140:E141)</f>
        <v>68720.338219014651</v>
      </c>
      <c r="G142" s="69">
        <f t="shared" ref="G142:I142" si="85">SUM(G140)</f>
        <v>79213.073000000004</v>
      </c>
      <c r="I142" s="69">
        <f t="shared" si="85"/>
        <v>85831.54</v>
      </c>
      <c r="J142" s="70"/>
      <c r="K142" s="71"/>
      <c r="L142" s="69">
        <f t="shared" ref="L142:AA142" si="86">SUM(L140)</f>
        <v>92701.07758538505</v>
      </c>
      <c r="M142" s="72"/>
      <c r="N142" s="69">
        <f t="shared" si="86"/>
        <v>96666.592999999993</v>
      </c>
      <c r="O142" s="70"/>
      <c r="P142" s="70">
        <f t="shared" si="86"/>
        <v>103095.598</v>
      </c>
      <c r="Q142" s="73"/>
      <c r="R142" s="70">
        <f>R140+R141</f>
        <v>115955.848</v>
      </c>
      <c r="S142" s="73"/>
      <c r="T142" s="70">
        <f>T140+T141</f>
        <v>134525.429</v>
      </c>
      <c r="U142" s="73"/>
      <c r="V142" s="313">
        <f t="shared" si="86"/>
        <v>141759.8185624145</v>
      </c>
      <c r="W142" s="73"/>
      <c r="X142" s="313">
        <f t="shared" si="86"/>
        <v>150596.88475972993</v>
      </c>
      <c r="Y142" s="73"/>
      <c r="Z142" s="313">
        <f t="shared" si="86"/>
        <v>157788.99531990488</v>
      </c>
      <c r="AA142" s="313">
        <f t="shared" si="86"/>
        <v>165044.58041780992</v>
      </c>
      <c r="AB142" s="313">
        <f>SUM(AB140)</f>
        <v>172300.16551571499</v>
      </c>
    </row>
    <row r="143" spans="1:28" x14ac:dyDescent="0.3">
      <c r="A143" s="119" t="s">
        <v>55</v>
      </c>
      <c r="C143" s="133">
        <v>1</v>
      </c>
      <c r="E143" s="133">
        <v>1</v>
      </c>
      <c r="G143" s="133">
        <f>77458/79213</f>
        <v>0.97784454571850576</v>
      </c>
      <c r="I143" s="133">
        <v>1</v>
      </c>
      <c r="J143" s="134"/>
      <c r="K143" s="81"/>
      <c r="L143" s="133">
        <v>1</v>
      </c>
      <c r="M143" s="135"/>
      <c r="N143" s="133">
        <v>1</v>
      </c>
      <c r="O143" s="134"/>
      <c r="P143" s="134">
        <v>1</v>
      </c>
      <c r="Q143" s="84"/>
      <c r="R143" s="134">
        <v>1</v>
      </c>
      <c r="S143" s="84"/>
      <c r="T143" s="134">
        <v>1</v>
      </c>
      <c r="U143" s="84"/>
      <c r="V143" s="324">
        <v>1</v>
      </c>
      <c r="W143" s="84"/>
      <c r="X143" s="324">
        <v>1</v>
      </c>
      <c r="Y143" s="84"/>
      <c r="Z143" s="324">
        <v>1</v>
      </c>
      <c r="AA143" s="324">
        <v>1</v>
      </c>
      <c r="AB143" s="324">
        <v>1</v>
      </c>
    </row>
    <row r="144" spans="1:28" x14ac:dyDescent="0.3">
      <c r="A144" s="119" t="s">
        <v>42</v>
      </c>
      <c r="C144" s="69">
        <f>SUM(C142*C143)</f>
        <v>69964.208587000001</v>
      </c>
      <c r="E144" s="69">
        <f>SUM(E142*E143)</f>
        <v>68720.338219014651</v>
      </c>
      <c r="G144" s="69">
        <f t="shared" ref="G144:I144" si="87">SUM(G142*G143)</f>
        <v>77458.071382651833</v>
      </c>
      <c r="I144" s="69">
        <f t="shared" si="87"/>
        <v>85831.54</v>
      </c>
      <c r="J144" s="70"/>
      <c r="K144" s="71"/>
      <c r="L144" s="69">
        <f t="shared" ref="L144:AA144" si="88">SUM(L142*L143)</f>
        <v>92701.07758538505</v>
      </c>
      <c r="M144" s="72"/>
      <c r="N144" s="69">
        <f t="shared" si="88"/>
        <v>96666.592999999993</v>
      </c>
      <c r="O144" s="70"/>
      <c r="P144" s="70">
        <f t="shared" si="88"/>
        <v>103095.598</v>
      </c>
      <c r="Q144" s="73"/>
      <c r="R144" s="70">
        <f t="shared" ref="R144" si="89">SUM(R142*R143)</f>
        <v>115955.848</v>
      </c>
      <c r="S144" s="73"/>
      <c r="T144" s="70">
        <f t="shared" si="88"/>
        <v>134525.429</v>
      </c>
      <c r="U144" s="73"/>
      <c r="V144" s="313">
        <f t="shared" si="88"/>
        <v>141759.8185624145</v>
      </c>
      <c r="W144" s="73"/>
      <c r="X144" s="313">
        <f t="shared" si="88"/>
        <v>150596.88475972993</v>
      </c>
      <c r="Y144" s="73"/>
      <c r="Z144" s="313">
        <f t="shared" si="88"/>
        <v>157788.99531990488</v>
      </c>
      <c r="AA144" s="313">
        <f t="shared" si="88"/>
        <v>165044.58041780992</v>
      </c>
      <c r="AB144" s="313">
        <f>SUM(AB142*AB143)</f>
        <v>172300.16551571499</v>
      </c>
    </row>
    <row r="145" spans="1:28" x14ac:dyDescent="0.3">
      <c r="A145" s="119" t="s">
        <v>44</v>
      </c>
      <c r="B145" s="168"/>
      <c r="C145" s="105">
        <f>802707.06/69964158</f>
        <v>1.1473118278647762E-2</v>
      </c>
      <c r="D145" s="136">
        <f>SUM(E145-C145)/E145</f>
        <v>7.9026924355978134E-2</v>
      </c>
      <c r="E145" s="105">
        <f>856090.19/68720290</f>
        <v>1.2457604442588935E-2</v>
      </c>
      <c r="F145" s="136">
        <f>SUM(G145-E145)/G145</f>
        <v>0.13269904482785214</v>
      </c>
      <c r="G145" s="105">
        <f>1112585/77458394</f>
        <v>1.4363646630731848E-2</v>
      </c>
      <c r="H145" s="108">
        <f>SUM(I145-G145)/G145</f>
        <v>1.8103872228034199E-2</v>
      </c>
      <c r="I145" s="105">
        <f>1255173.34/85831540</f>
        <v>1.4623684254063251E-2</v>
      </c>
      <c r="J145" s="137"/>
      <c r="K145" s="106">
        <f>SUM(L145-I145)/I145</f>
        <v>-1.3949345977307324E-2</v>
      </c>
      <c r="L145" s="105">
        <f>1336.72/92701</f>
        <v>1.4419693422940421E-2</v>
      </c>
      <c r="M145" s="108">
        <f>SUM((N145-L145)/L145)</f>
        <v>2.0801192302491757E-3</v>
      </c>
      <c r="N145" s="105">
        <f>1396.808/96667</f>
        <v>1.4449688104523777E-2</v>
      </c>
      <c r="O145" s="168">
        <f>SUM(P147-N147)/N147</f>
        <v>5.2438044034974686E-2</v>
      </c>
      <c r="P145" s="293">
        <f>1470.04769/103095.598</f>
        <v>1.4259073311743148E-2</v>
      </c>
      <c r="Q145" s="294">
        <f>SUM((R145-P145)/P145)</f>
        <v>-7.5763117063388586E-3</v>
      </c>
      <c r="R145" s="293">
        <f>1640896.09/115955848</f>
        <v>1.4151042127689844E-2</v>
      </c>
      <c r="S145" s="294">
        <f>SUM((T145-R145)/R145)</f>
        <v>-7.2473180601005147E-2</v>
      </c>
      <c r="T145" s="293">
        <f>1765.70963/T144</f>
        <v>1.3125471095877346E-2</v>
      </c>
      <c r="U145" s="305">
        <f>$U$30</f>
        <v>0</v>
      </c>
      <c r="V145" s="318">
        <f>SUM(T145*(1+U145))</f>
        <v>1.3125471095877346E-2</v>
      </c>
      <c r="W145" s="305">
        <f>$W$30</f>
        <v>0</v>
      </c>
      <c r="X145" s="318">
        <f>SUM(V145*(1+W145))</f>
        <v>1.3125471095877346E-2</v>
      </c>
      <c r="Y145" s="305">
        <f>$Y$30</f>
        <v>0.02</v>
      </c>
      <c r="Z145" s="318">
        <f>SUM(X145*(1+Y145))</f>
        <v>1.3387980517794893E-2</v>
      </c>
      <c r="AA145" s="318">
        <f>SUM(Z145*(1+Y145))</f>
        <v>1.3655740128150792E-2</v>
      </c>
      <c r="AB145" s="318">
        <f>SUM(AA145*(1+Y145))</f>
        <v>1.3928854930713807E-2</v>
      </c>
    </row>
    <row r="146" spans="1:28" ht="5.4" customHeight="1" x14ac:dyDescent="0.3">
      <c r="A146" s="119"/>
      <c r="C146" s="241"/>
      <c r="E146" s="99"/>
      <c r="G146" s="99"/>
      <c r="I146" s="99"/>
      <c r="J146" s="100"/>
      <c r="K146" s="101"/>
      <c r="L146" s="241"/>
      <c r="M146" s="102"/>
      <c r="N146" s="99"/>
      <c r="O146" s="102"/>
      <c r="P146" s="100"/>
      <c r="Q146" s="101"/>
      <c r="R146" s="100"/>
      <c r="S146" s="101"/>
      <c r="T146" s="100"/>
      <c r="U146" s="101"/>
      <c r="V146" s="317"/>
      <c r="W146" s="101"/>
      <c r="X146" s="317"/>
      <c r="Y146" s="101"/>
      <c r="Z146" s="317"/>
      <c r="AA146" s="317"/>
      <c r="AB146" s="317"/>
    </row>
    <row r="147" spans="1:28" x14ac:dyDescent="0.3">
      <c r="A147" s="140" t="s">
        <v>45</v>
      </c>
      <c r="C147" s="178">
        <f>SUM(C144*C145)</f>
        <v>802.70764039063442</v>
      </c>
      <c r="E147" s="178">
        <f>SUM(E144*E145)</f>
        <v>856.09079069341112</v>
      </c>
      <c r="G147" s="178">
        <f t="shared" ref="G147:I147" si="90">SUM(G144*G145)</f>
        <v>1112.580366038414</v>
      </c>
      <c r="I147" s="178">
        <f t="shared" si="90"/>
        <v>1255.1733400000001</v>
      </c>
      <c r="J147" s="179"/>
      <c r="K147" s="180"/>
      <c r="L147" s="178">
        <f t="shared" ref="L147:P147" si="91">SUM(L144*L145)</f>
        <v>1336.7211187574665</v>
      </c>
      <c r="M147" s="181"/>
      <c r="N147" s="178">
        <f t="shared" si="91"/>
        <v>1396.8021189769413</v>
      </c>
      <c r="O147" s="181"/>
      <c r="P147" s="179">
        <f t="shared" si="91"/>
        <v>1470.0476900000001</v>
      </c>
      <c r="Q147" s="180"/>
      <c r="R147" s="179">
        <f t="shared" ref="R147" si="92">SUM(R144*R145)</f>
        <v>1640.8960900000002</v>
      </c>
      <c r="S147" s="180"/>
      <c r="T147" s="179">
        <f>SUM(T144*T145)</f>
        <v>1765.7096300000001</v>
      </c>
      <c r="U147" s="180"/>
      <c r="V147" s="338">
        <f>SUM(V144*V145)</f>
        <v>1860.6644010977882</v>
      </c>
      <c r="W147" s="180"/>
      <c r="X147" s="338">
        <f>SUM(X144*X145)</f>
        <v>1976.6550580430069</v>
      </c>
      <c r="Y147" s="180"/>
      <c r="Z147" s="338">
        <f>SUM(Z144*Z145)</f>
        <v>2112.4759952653162</v>
      </c>
      <c r="AA147" s="338">
        <f>SUM(AA144*AA145)</f>
        <v>2253.8058997452972</v>
      </c>
      <c r="AB147" s="338">
        <f>SUM(AB144*AB145)</f>
        <v>2399.9440100063721</v>
      </c>
    </row>
    <row r="148" spans="1:28" x14ac:dyDescent="0.3">
      <c r="A148" s="170"/>
      <c r="C148" s="143"/>
      <c r="I148" s="242"/>
      <c r="J148" s="242"/>
      <c r="K148" s="145"/>
      <c r="L148" s="145"/>
      <c r="M148" s="144"/>
      <c r="N148" s="144"/>
      <c r="O148" s="144"/>
      <c r="P148" s="144"/>
      <c r="Q148" s="145"/>
      <c r="R148" s="144"/>
      <c r="S148" s="145"/>
      <c r="T148" s="144"/>
      <c r="U148" s="145"/>
      <c r="V148" s="144"/>
      <c r="W148" s="145"/>
      <c r="X148" s="144"/>
      <c r="Y148" s="145"/>
      <c r="Z148" s="144"/>
      <c r="AA148" s="144"/>
      <c r="AB148" s="144"/>
    </row>
    <row r="149" spans="1:28" x14ac:dyDescent="0.3">
      <c r="A149" s="185" t="s">
        <v>94</v>
      </c>
      <c r="C149" s="186" t="s">
        <v>67</v>
      </c>
      <c r="E149" s="186" t="s">
        <v>68</v>
      </c>
      <c r="G149" s="186" t="s">
        <v>69</v>
      </c>
      <c r="I149" s="186" t="s">
        <v>70</v>
      </c>
      <c r="J149" s="187"/>
      <c r="K149" s="188"/>
      <c r="L149" s="186" t="s">
        <v>71</v>
      </c>
      <c r="M149" s="189"/>
      <c r="N149" s="186" t="s">
        <v>72</v>
      </c>
      <c r="O149" s="187"/>
      <c r="P149" s="187" t="s">
        <v>73</v>
      </c>
      <c r="Q149" s="243"/>
      <c r="R149" s="187" t="s">
        <v>133</v>
      </c>
      <c r="S149" s="243"/>
      <c r="T149" s="187" t="s">
        <v>150</v>
      </c>
      <c r="U149" s="174"/>
      <c r="V149" s="301" t="s">
        <v>74</v>
      </c>
      <c r="W149" s="174"/>
      <c r="X149" s="301" t="s">
        <v>136</v>
      </c>
      <c r="Y149" s="174"/>
      <c r="Z149" s="301" t="s">
        <v>137</v>
      </c>
      <c r="AA149" s="301" t="s">
        <v>138</v>
      </c>
      <c r="AB149" s="301" t="str">
        <f>$AB$10</f>
        <v>2023 Estimate</v>
      </c>
    </row>
    <row r="150" spans="1:28" x14ac:dyDescent="0.3">
      <c r="A150" s="119"/>
      <c r="C150" s="62"/>
      <c r="E150" s="62"/>
      <c r="G150" s="62"/>
      <c r="I150" s="62"/>
      <c r="J150" s="63"/>
      <c r="K150" s="64"/>
      <c r="L150" s="62"/>
      <c r="M150" s="65"/>
      <c r="N150" s="61"/>
      <c r="O150" s="65"/>
      <c r="P150" s="65"/>
      <c r="Q150" s="64"/>
      <c r="R150" s="65"/>
      <c r="S150" s="64"/>
      <c r="T150" s="65"/>
      <c r="U150" s="64"/>
      <c r="V150" s="321"/>
      <c r="W150" s="64"/>
      <c r="X150" s="321"/>
      <c r="Y150" s="64"/>
      <c r="Z150" s="321"/>
      <c r="AA150" s="321"/>
      <c r="AB150" s="321"/>
    </row>
    <row r="151" spans="1:28" x14ac:dyDescent="0.3">
      <c r="A151" s="119" t="s">
        <v>126</v>
      </c>
      <c r="C151" s="62"/>
      <c r="E151" s="62"/>
      <c r="G151" s="62"/>
      <c r="I151" s="62"/>
      <c r="J151" s="63"/>
      <c r="K151" s="64"/>
      <c r="L151" s="62"/>
      <c r="M151" s="65"/>
      <c r="N151" s="61"/>
      <c r="O151" s="65"/>
      <c r="P151" s="65"/>
      <c r="Q151" s="64"/>
      <c r="R151" s="65"/>
      <c r="S151" s="64"/>
      <c r="T151" s="65"/>
      <c r="U151" s="64"/>
      <c r="V151" s="321"/>
      <c r="W151" s="64"/>
      <c r="X151" s="321"/>
      <c r="Y151" s="64"/>
      <c r="Z151" s="321"/>
      <c r="AA151" s="321"/>
      <c r="AB151" s="321"/>
    </row>
    <row r="152" spans="1:28" x14ac:dyDescent="0.3">
      <c r="A152" s="119" t="s">
        <v>95</v>
      </c>
      <c r="C152" s="69">
        <v>130466</v>
      </c>
      <c r="E152" s="69">
        <v>142400</v>
      </c>
      <c r="G152" s="69">
        <v>160600</v>
      </c>
      <c r="I152" s="69">
        <v>168937</v>
      </c>
      <c r="J152" s="70"/>
      <c r="K152" s="71"/>
      <c r="L152" s="69">
        <v>184700</v>
      </c>
      <c r="M152" s="72"/>
      <c r="N152" s="69">
        <v>209500</v>
      </c>
      <c r="O152" s="70"/>
      <c r="P152" s="70">
        <v>243796.47</v>
      </c>
      <c r="Q152" s="73"/>
      <c r="R152" s="70">
        <v>282611.34999999998</v>
      </c>
      <c r="S152" s="73"/>
      <c r="T152" s="70">
        <v>340600</v>
      </c>
      <c r="U152" s="73"/>
      <c r="V152" s="313">
        <f>SUM(T152:T154)</f>
        <v>340600</v>
      </c>
      <c r="W152" s="73"/>
      <c r="X152" s="313">
        <f>SUM(V152:V154)</f>
        <v>362552</v>
      </c>
      <c r="Y152" s="73"/>
      <c r="Z152" s="313">
        <f>SUM(X152:X154)</f>
        <v>384675</v>
      </c>
      <c r="AA152" s="313">
        <f t="shared" ref="AA152" si="93">SUM(Z152:Z154)</f>
        <v>404929</v>
      </c>
      <c r="AB152" s="313">
        <f>SUM(AA152:AA154)</f>
        <v>425304</v>
      </c>
    </row>
    <row r="153" spans="1:28" x14ac:dyDescent="0.3">
      <c r="A153" s="119" t="s">
        <v>96</v>
      </c>
      <c r="C153" s="69"/>
      <c r="E153" s="69"/>
      <c r="G153" s="69"/>
      <c r="I153" s="69"/>
      <c r="J153" s="70"/>
      <c r="K153" s="71"/>
      <c r="L153" s="69"/>
      <c r="M153" s="72"/>
      <c r="N153" s="69"/>
      <c r="O153" s="70"/>
      <c r="P153" s="70"/>
      <c r="Q153" s="73"/>
      <c r="R153" s="70"/>
      <c r="S153" s="73"/>
      <c r="T153" s="70"/>
      <c r="U153" s="73"/>
      <c r="V153" s="154">
        <v>21952</v>
      </c>
      <c r="W153" s="73"/>
      <c r="X153" s="154">
        <v>22123</v>
      </c>
      <c r="Y153" s="73"/>
      <c r="Z153" s="154">
        <v>20254</v>
      </c>
      <c r="AA153" s="154">
        <v>20375</v>
      </c>
      <c r="AB153" s="154">
        <f>AA153</f>
        <v>20375</v>
      </c>
    </row>
    <row r="154" spans="1:28" x14ac:dyDescent="0.3">
      <c r="A154" s="119" t="s">
        <v>52</v>
      </c>
      <c r="C154" s="69"/>
      <c r="E154" s="69"/>
      <c r="G154" s="69"/>
      <c r="I154" s="69"/>
      <c r="J154" s="70"/>
      <c r="K154" s="71"/>
      <c r="L154" s="69"/>
      <c r="M154" s="72"/>
      <c r="N154" s="69"/>
      <c r="O154" s="70"/>
      <c r="P154" s="70"/>
      <c r="Q154" s="73"/>
      <c r="R154" s="70">
        <v>0</v>
      </c>
      <c r="S154" s="73"/>
      <c r="T154" s="70">
        <v>0</v>
      </c>
      <c r="U154" s="73"/>
      <c r="V154" s="154">
        <v>0</v>
      </c>
      <c r="W154" s="73"/>
      <c r="X154" s="154">
        <v>0</v>
      </c>
      <c r="Y154" s="73"/>
      <c r="Z154" s="154">
        <v>0</v>
      </c>
      <c r="AA154" s="154">
        <v>0</v>
      </c>
      <c r="AB154" s="154">
        <f>AA154</f>
        <v>0</v>
      </c>
    </row>
    <row r="155" spans="1:28" x14ac:dyDescent="0.3">
      <c r="A155" s="119" t="s">
        <v>37</v>
      </c>
      <c r="C155" s="86">
        <v>1</v>
      </c>
      <c r="E155" s="86">
        <v>1</v>
      </c>
      <c r="G155" s="86">
        <v>1</v>
      </c>
      <c r="I155" s="86">
        <v>1</v>
      </c>
      <c r="J155" s="87"/>
      <c r="K155" s="71"/>
      <c r="L155" s="86">
        <v>1</v>
      </c>
      <c r="M155" s="89"/>
      <c r="N155" s="86">
        <v>1</v>
      </c>
      <c r="O155" s="87"/>
      <c r="P155" s="87">
        <v>1</v>
      </c>
      <c r="Q155" s="73"/>
      <c r="R155" s="87">
        <v>1</v>
      </c>
      <c r="S155" s="73"/>
      <c r="T155" s="87">
        <v>1</v>
      </c>
      <c r="U155" s="73"/>
      <c r="V155" s="314">
        <v>1</v>
      </c>
      <c r="W155" s="73"/>
      <c r="X155" s="314">
        <v>1</v>
      </c>
      <c r="Y155" s="73"/>
      <c r="Z155" s="314">
        <v>1</v>
      </c>
      <c r="AA155" s="314">
        <v>1</v>
      </c>
      <c r="AB155" s="314">
        <v>1</v>
      </c>
    </row>
    <row r="156" spans="1:28" x14ac:dyDescent="0.3">
      <c r="A156" s="119" t="s">
        <v>38</v>
      </c>
      <c r="C156" s="90">
        <v>1</v>
      </c>
      <c r="E156" s="90">
        <v>1</v>
      </c>
      <c r="G156" s="90">
        <v>1</v>
      </c>
      <c r="I156" s="90">
        <v>1</v>
      </c>
      <c r="J156" s="91"/>
      <c r="K156" s="81"/>
      <c r="L156" s="90">
        <v>1</v>
      </c>
      <c r="M156" s="94"/>
      <c r="N156" s="90">
        <v>1</v>
      </c>
      <c r="O156" s="91"/>
      <c r="P156" s="91">
        <v>1</v>
      </c>
      <c r="Q156" s="84"/>
      <c r="R156" s="91">
        <v>1</v>
      </c>
      <c r="S156" s="84"/>
      <c r="T156" s="91">
        <v>1</v>
      </c>
      <c r="U156" s="84"/>
      <c r="V156" s="315">
        <v>1</v>
      </c>
      <c r="W156" s="84"/>
      <c r="X156" s="315">
        <v>1</v>
      </c>
      <c r="Y156" s="84"/>
      <c r="Z156" s="315">
        <v>1</v>
      </c>
      <c r="AA156" s="315">
        <v>1</v>
      </c>
      <c r="AB156" s="315">
        <v>1</v>
      </c>
    </row>
    <row r="157" spans="1:28" x14ac:dyDescent="0.3">
      <c r="A157" s="119" t="s">
        <v>97</v>
      </c>
      <c r="C157" s="99">
        <f>SUM((C152+C153+C154)*C155*C156)</f>
        <v>130466</v>
      </c>
      <c r="E157" s="99">
        <f>SUM((E152+E153+E154)*E155*E156)</f>
        <v>142400</v>
      </c>
      <c r="G157" s="99">
        <f t="shared" ref="G157:I157" si="94">SUM((G152+G153+G154)*G155*G156)</f>
        <v>160600</v>
      </c>
      <c r="I157" s="99">
        <f t="shared" si="94"/>
        <v>168937</v>
      </c>
      <c r="J157" s="100"/>
      <c r="K157" s="101"/>
      <c r="L157" s="99">
        <f t="shared" ref="L157:AA157" si="95">SUM((L152+L153+L154)*L155*L156)</f>
        <v>184700</v>
      </c>
      <c r="M157" s="102"/>
      <c r="N157" s="99">
        <f t="shared" si="95"/>
        <v>209500</v>
      </c>
      <c r="O157" s="100"/>
      <c r="P157" s="100">
        <f t="shared" ref="P157" si="96">SUM((P152+P153+P154)*P155*P156)</f>
        <v>243796.47</v>
      </c>
      <c r="Q157" s="177"/>
      <c r="R157" s="100">
        <f t="shared" ref="R157" si="97">SUM((R152+R153+R154)*R155*R156)</f>
        <v>282611.34999999998</v>
      </c>
      <c r="S157" s="177"/>
      <c r="T157" s="100">
        <f t="shared" si="95"/>
        <v>340600</v>
      </c>
      <c r="U157" s="177"/>
      <c r="V157" s="317">
        <f>SUM((V152+V153+V154)*V155*V156)</f>
        <v>362552</v>
      </c>
      <c r="W157" s="177"/>
      <c r="X157" s="317">
        <f>SUM((X152+X153+X154)*X155*X156)</f>
        <v>384675</v>
      </c>
      <c r="Y157" s="177"/>
      <c r="Z157" s="317">
        <f t="shared" si="95"/>
        <v>404929</v>
      </c>
      <c r="AA157" s="317">
        <f t="shared" si="95"/>
        <v>425304</v>
      </c>
      <c r="AB157" s="317">
        <f>SUM((AB152+AB153+AB154)*AB155*AB156)</f>
        <v>445679</v>
      </c>
    </row>
    <row r="158" spans="1:28" x14ac:dyDescent="0.3">
      <c r="A158" s="119" t="s">
        <v>98</v>
      </c>
      <c r="C158" s="69"/>
      <c r="E158" s="69"/>
      <c r="G158" s="69"/>
      <c r="I158" s="69"/>
      <c r="J158" s="70"/>
      <c r="K158" s="71"/>
      <c r="L158" s="69"/>
      <c r="M158" s="72"/>
      <c r="N158" s="69"/>
      <c r="O158" s="70"/>
      <c r="P158" s="70"/>
      <c r="Q158" s="73"/>
      <c r="R158" s="70"/>
      <c r="S158" s="73"/>
      <c r="T158" s="70"/>
      <c r="U158" s="73"/>
      <c r="V158" s="313"/>
      <c r="W158" s="73"/>
      <c r="X158" s="313"/>
      <c r="Y158" s="73"/>
      <c r="Z158" s="313"/>
      <c r="AA158" s="313"/>
      <c r="AB158" s="313"/>
    </row>
    <row r="159" spans="1:28" x14ac:dyDescent="0.3">
      <c r="A159" s="119"/>
      <c r="C159" s="244">
        <v>1</v>
      </c>
      <c r="E159" s="244">
        <v>1</v>
      </c>
      <c r="G159" s="244">
        <v>1</v>
      </c>
      <c r="I159" s="244">
        <v>1</v>
      </c>
      <c r="J159" s="245"/>
      <c r="K159" s="71"/>
      <c r="L159" s="244">
        <v>1</v>
      </c>
      <c r="M159" s="246"/>
      <c r="N159" s="244">
        <v>1</v>
      </c>
      <c r="O159" s="245"/>
      <c r="P159" s="245">
        <v>1</v>
      </c>
      <c r="Q159" s="73"/>
      <c r="R159" s="245">
        <v>1</v>
      </c>
      <c r="S159" s="73"/>
      <c r="T159" s="245">
        <v>1</v>
      </c>
      <c r="U159" s="73"/>
      <c r="V159" s="339">
        <v>1</v>
      </c>
      <c r="W159" s="73"/>
      <c r="X159" s="339">
        <v>1</v>
      </c>
      <c r="Y159" s="73"/>
      <c r="Z159" s="339">
        <v>1</v>
      </c>
      <c r="AA159" s="339">
        <v>1</v>
      </c>
      <c r="AB159" s="339">
        <v>1</v>
      </c>
    </row>
    <row r="160" spans="1:28" x14ac:dyDescent="0.3">
      <c r="A160" s="119" t="s">
        <v>41</v>
      </c>
      <c r="C160" s="69">
        <f>SUM(C157*C159)</f>
        <v>130466</v>
      </c>
      <c r="E160" s="69">
        <f>SUM(E157*E159)</f>
        <v>142400</v>
      </c>
      <c r="G160" s="69">
        <f t="shared" ref="G160:I160" si="98">SUM(G157*G159)</f>
        <v>160600</v>
      </c>
      <c r="I160" s="69">
        <f t="shared" si="98"/>
        <v>168937</v>
      </c>
      <c r="J160" s="70"/>
      <c r="K160" s="71"/>
      <c r="L160" s="69">
        <f t="shared" ref="L160:AA160" si="99">SUM(L157*L159)</f>
        <v>184700</v>
      </c>
      <c r="M160" s="72"/>
      <c r="N160" s="69">
        <f t="shared" si="99"/>
        <v>209500</v>
      </c>
      <c r="O160" s="70"/>
      <c r="P160" s="70">
        <f t="shared" ref="P160" si="100">SUM(P157*P159)</f>
        <v>243796.47</v>
      </c>
      <c r="Q160" s="73"/>
      <c r="R160" s="70">
        <f t="shared" ref="R160" si="101">SUM(R157*R159)</f>
        <v>282611.34999999998</v>
      </c>
      <c r="S160" s="73"/>
      <c r="T160" s="70">
        <f t="shared" si="99"/>
        <v>340600</v>
      </c>
      <c r="U160" s="73"/>
      <c r="V160" s="313">
        <f t="shared" si="99"/>
        <v>362552</v>
      </c>
      <c r="W160" s="73"/>
      <c r="X160" s="313">
        <f t="shared" si="99"/>
        <v>384675</v>
      </c>
      <c r="Y160" s="73"/>
      <c r="Z160" s="313">
        <f t="shared" si="99"/>
        <v>404929</v>
      </c>
      <c r="AA160" s="313">
        <f t="shared" si="99"/>
        <v>425304</v>
      </c>
      <c r="AB160" s="313">
        <f>SUM(AB157*AB159)</f>
        <v>445679</v>
      </c>
    </row>
    <row r="161" spans="1:30" x14ac:dyDescent="0.3">
      <c r="A161" s="119" t="s">
        <v>55</v>
      </c>
      <c r="C161" s="95">
        <v>1</v>
      </c>
      <c r="E161" s="95">
        <v>1</v>
      </c>
      <c r="G161" s="95">
        <v>1</v>
      </c>
      <c r="I161" s="95">
        <v>1</v>
      </c>
      <c r="J161" s="247"/>
      <c r="K161" s="81"/>
      <c r="L161" s="95">
        <v>1</v>
      </c>
      <c r="M161" s="98"/>
      <c r="N161" s="95">
        <v>1</v>
      </c>
      <c r="O161" s="247"/>
      <c r="P161" s="247">
        <v>1</v>
      </c>
      <c r="Q161" s="84"/>
      <c r="R161" s="247">
        <v>1</v>
      </c>
      <c r="S161" s="84"/>
      <c r="T161" s="247">
        <v>1</v>
      </c>
      <c r="U161" s="84"/>
      <c r="V161" s="340">
        <v>1</v>
      </c>
      <c r="W161" s="84"/>
      <c r="X161" s="340">
        <v>1</v>
      </c>
      <c r="Y161" s="84"/>
      <c r="Z161" s="340">
        <v>1</v>
      </c>
      <c r="AA161" s="340">
        <v>1</v>
      </c>
      <c r="AB161" s="340">
        <v>1</v>
      </c>
    </row>
    <row r="162" spans="1:30" x14ac:dyDescent="0.3">
      <c r="A162" s="119" t="s">
        <v>42</v>
      </c>
      <c r="C162" s="69">
        <f>SUM(C160*C161)</f>
        <v>130466</v>
      </c>
      <c r="E162" s="69">
        <f>SUM(E160*E161)</f>
        <v>142400</v>
      </c>
      <c r="G162" s="69">
        <f t="shared" ref="G162:I162" si="102">SUM(G160*G161)</f>
        <v>160600</v>
      </c>
      <c r="I162" s="69">
        <f t="shared" si="102"/>
        <v>168937</v>
      </c>
      <c r="J162" s="70"/>
      <c r="K162" s="71"/>
      <c r="L162" s="69">
        <f t="shared" ref="L162:AA162" si="103">SUM(L160*L161)</f>
        <v>184700</v>
      </c>
      <c r="M162" s="72"/>
      <c r="N162" s="69">
        <f t="shared" si="103"/>
        <v>209500</v>
      </c>
      <c r="O162" s="70"/>
      <c r="P162" s="70">
        <f t="shared" ref="P162" si="104">SUM(P160*P161)</f>
        <v>243796.47</v>
      </c>
      <c r="Q162" s="73"/>
      <c r="R162" s="70">
        <f t="shared" ref="R162" si="105">SUM(R160*R161)</f>
        <v>282611.34999999998</v>
      </c>
      <c r="S162" s="73"/>
      <c r="T162" s="70">
        <f t="shared" si="103"/>
        <v>340600</v>
      </c>
      <c r="U162" s="73"/>
      <c r="V162" s="313">
        <f>SUM(V160*V161)</f>
        <v>362552</v>
      </c>
      <c r="W162" s="73"/>
      <c r="X162" s="313">
        <f t="shared" si="103"/>
        <v>384675</v>
      </c>
      <c r="Y162" s="73"/>
      <c r="Z162" s="313">
        <f t="shared" si="103"/>
        <v>404929</v>
      </c>
      <c r="AA162" s="313">
        <f t="shared" si="103"/>
        <v>425304</v>
      </c>
      <c r="AB162" s="313">
        <f>SUM(AB160*AB161)</f>
        <v>445679</v>
      </c>
    </row>
    <row r="163" spans="1:30" x14ac:dyDescent="0.3">
      <c r="A163" s="119" t="s">
        <v>44</v>
      </c>
      <c r="B163" s="138"/>
      <c r="C163" s="105">
        <f>1651218.73/130466761</f>
        <v>1.2656240695666537E-2</v>
      </c>
      <c r="D163" s="138">
        <f>SUM(E163-C163)/E163</f>
        <v>-6.262980404406311E-3</v>
      </c>
      <c r="E163" s="104">
        <f>1791.03148/142400</f>
        <v>1.2577468258426967E-2</v>
      </c>
      <c r="F163" s="138">
        <f>SUM(G163-E163)/G163</f>
        <v>5.2758046385714798E-3</v>
      </c>
      <c r="G163" s="105">
        <f>2030654.74/160600000</f>
        <v>1.2644176463262765E-2</v>
      </c>
      <c r="H163" s="108">
        <f>SUM(I163-G163)/G163</f>
        <v>5.1867792740404131E-4</v>
      </c>
      <c r="I163" s="105">
        <f>2137183.37/168937490</f>
        <v>1.2650734718504461E-2</v>
      </c>
      <c r="J163" s="137"/>
      <c r="K163" s="108">
        <f>SUM(L163-I163)/I163</f>
        <v>1.8090373058002526E-2</v>
      </c>
      <c r="L163" s="233">
        <f>2378.8605/184700</f>
        <v>1.2879591229020031E-2</v>
      </c>
      <c r="M163" s="106">
        <f>SUM((N163-L163)/L163)</f>
        <v>-1.7520220751848135E-2</v>
      </c>
      <c r="N163" s="105">
        <f>2651/209500</f>
        <v>1.2653937947494033E-2</v>
      </c>
      <c r="O163" s="106">
        <f>SUM((P163-N163)/N163)</f>
        <v>3.2142361743143194E-2</v>
      </c>
      <c r="P163" s="295">
        <f>3184144.12/243796470</f>
        <v>1.3060665398477674E-2</v>
      </c>
      <c r="Q163" s="294">
        <f>SUM((R163-P163)/P163)</f>
        <v>-3.4740827887131801E-3</v>
      </c>
      <c r="R163" s="295">
        <f>3678269.12/282611350</f>
        <v>1.301529156560768E-2</v>
      </c>
      <c r="S163" s="294">
        <f>SUM((T163-R163)/R163)</f>
        <v>-4.7261037638325091E-3</v>
      </c>
      <c r="T163" s="293">
        <f>4412.05745/T162</f>
        <v>1.2953779947152085E-2</v>
      </c>
      <c r="U163" s="305">
        <f>$U$30</f>
        <v>0</v>
      </c>
      <c r="V163" s="318">
        <f>SUM(T163*(1+U163))</f>
        <v>1.2953779947152085E-2</v>
      </c>
      <c r="W163" s="305">
        <f>$W$30</f>
        <v>0</v>
      </c>
      <c r="X163" s="318">
        <f>SUM(V163*(1+W163))</f>
        <v>1.2953779947152085E-2</v>
      </c>
      <c r="Y163" s="305">
        <f>$Y$30</f>
        <v>0.02</v>
      </c>
      <c r="Z163" s="318">
        <f>SUM(X163*(1+Y163))</f>
        <v>1.3212855546095126E-2</v>
      </c>
      <c r="AA163" s="318">
        <f>SUM(Z163*(1+Y163))</f>
        <v>1.3477112657017029E-2</v>
      </c>
      <c r="AB163" s="318">
        <f>SUM(AA163*(1+Y163))</f>
        <v>1.374665491015737E-2</v>
      </c>
    </row>
    <row r="164" spans="1:30" x14ac:dyDescent="0.3">
      <c r="A164" s="119"/>
      <c r="C164" s="109"/>
      <c r="E164" s="110"/>
      <c r="G164" s="110"/>
      <c r="I164" s="110"/>
      <c r="J164" s="139"/>
      <c r="K164" s="71"/>
      <c r="L164" s="109"/>
      <c r="M164" s="111"/>
      <c r="N164" s="110"/>
      <c r="O164" s="139"/>
      <c r="P164" s="139"/>
      <c r="Q164" s="73"/>
      <c r="R164" s="139"/>
      <c r="S164" s="73"/>
      <c r="T164" s="139"/>
      <c r="U164" s="73"/>
      <c r="V164" s="319"/>
      <c r="W164" s="73"/>
      <c r="X164" s="319"/>
      <c r="Y164" s="73"/>
      <c r="Z164" s="319"/>
      <c r="AA164" s="319"/>
      <c r="AB164" s="319"/>
    </row>
    <row r="165" spans="1:30" ht="15" thickBot="1" x14ac:dyDescent="0.35">
      <c r="A165" s="140" t="s">
        <v>45</v>
      </c>
      <c r="C165" s="112">
        <f>SUM(C162*C163)</f>
        <v>1651.2090986008304</v>
      </c>
      <c r="E165" s="112">
        <f>SUM(E162*E163)</f>
        <v>1791.0314800000001</v>
      </c>
      <c r="G165" s="112">
        <f t="shared" ref="G165:I165" si="106">SUM(G162*G163)</f>
        <v>2030.6547399999999</v>
      </c>
      <c r="I165" s="112">
        <f t="shared" si="106"/>
        <v>2137.1771711399883</v>
      </c>
      <c r="J165" s="141"/>
      <c r="K165" s="114"/>
      <c r="L165" s="248">
        <f t="shared" ref="L165:Z165" si="107">SUM(L162*L163)</f>
        <v>2378.8604999999998</v>
      </c>
      <c r="M165" s="113"/>
      <c r="N165" s="112">
        <f t="shared" si="107"/>
        <v>2651</v>
      </c>
      <c r="O165" s="141"/>
      <c r="P165" s="141">
        <f t="shared" si="107"/>
        <v>3184.1441200000004</v>
      </c>
      <c r="Q165" s="249"/>
      <c r="R165" s="141">
        <f t="shared" ref="R165" si="108">SUM(R162*R163)</f>
        <v>3678.2691199999999</v>
      </c>
      <c r="S165" s="249"/>
      <c r="T165" s="141">
        <f>SUM(T162*T163)</f>
        <v>4412.0574500000002</v>
      </c>
      <c r="U165" s="249"/>
      <c r="V165" s="320">
        <f t="shared" si="107"/>
        <v>4696.4188273998825</v>
      </c>
      <c r="W165" s="249"/>
      <c r="X165" s="320">
        <f t="shared" si="107"/>
        <v>4982.9953011707285</v>
      </c>
      <c r="Y165" s="249"/>
      <c r="Z165" s="320">
        <f t="shared" si="107"/>
        <v>5350.2683834247537</v>
      </c>
      <c r="AA165" s="320">
        <f>SUM(AA162*AA163)</f>
        <v>5731.8699214799708</v>
      </c>
      <c r="AB165" s="320">
        <f>SUM(AB162*AB163)</f>
        <v>6126.5954137040262</v>
      </c>
    </row>
    <row r="166" spans="1:30" ht="15" thickTop="1" x14ac:dyDescent="0.3">
      <c r="A166" s="250"/>
      <c r="B166" s="251"/>
      <c r="C166" s="144"/>
      <c r="D166" s="13"/>
      <c r="E166" s="116"/>
      <c r="F166" s="18"/>
      <c r="G166" s="116"/>
      <c r="H166" s="6"/>
      <c r="I166" s="144"/>
      <c r="J166" s="144"/>
      <c r="K166" s="145"/>
      <c r="L166" s="144"/>
      <c r="M166" s="144"/>
      <c r="N166" s="144"/>
      <c r="O166" s="144"/>
      <c r="P166" s="144"/>
      <c r="Q166" s="145"/>
      <c r="R166" s="144"/>
      <c r="S166" s="145"/>
      <c r="T166" s="144"/>
      <c r="U166" s="145"/>
      <c r="V166" s="144"/>
      <c r="W166" s="145"/>
      <c r="X166" s="144"/>
      <c r="Y166" s="145"/>
      <c r="Z166" s="144"/>
      <c r="AA166" s="144"/>
      <c r="AB166" s="144"/>
    </row>
    <row r="167" spans="1:30" hidden="1" x14ac:dyDescent="0.3">
      <c r="A167" s="19"/>
      <c r="B167" s="252"/>
      <c r="C167" s="20"/>
      <c r="D167" s="20"/>
      <c r="E167" s="20"/>
      <c r="F167" s="20"/>
      <c r="G167" s="20"/>
      <c r="H167" s="7"/>
      <c r="I167" s="21"/>
      <c r="J167" s="22"/>
      <c r="K167" s="8"/>
      <c r="L167" s="253"/>
      <c r="M167" s="23"/>
      <c r="N167" s="26" t="s">
        <v>0</v>
      </c>
      <c r="O167" s="254"/>
      <c r="P167" s="255" t="s">
        <v>0</v>
      </c>
      <c r="R167" s="255" t="s">
        <v>0</v>
      </c>
      <c r="T167" s="257"/>
      <c r="U167" s="4"/>
      <c r="V167" s="257"/>
      <c r="W167" s="4"/>
      <c r="X167" s="257"/>
      <c r="Y167" s="4"/>
      <c r="Z167" s="257"/>
      <c r="AA167" s="257"/>
      <c r="AB167" s="257"/>
    </row>
    <row r="168" spans="1:30" hidden="1" x14ac:dyDescent="0.3">
      <c r="A168" s="256"/>
      <c r="B168" s="27"/>
      <c r="C168" s="15"/>
      <c r="D168" s="15"/>
      <c r="E168" s="15"/>
      <c r="F168" s="15"/>
      <c r="H168" s="3"/>
      <c r="J168" s="257"/>
      <c r="K168" s="4"/>
      <c r="L168" s="258">
        <v>2014</v>
      </c>
      <c r="M168" s="24"/>
      <c r="N168" s="28">
        <v>2015</v>
      </c>
      <c r="O168" s="34"/>
      <c r="P168" s="259">
        <v>2016</v>
      </c>
      <c r="Q168" s="4"/>
      <c r="R168" s="259">
        <v>2017</v>
      </c>
      <c r="S168" s="4"/>
      <c r="T168" s="257"/>
      <c r="U168" s="4"/>
      <c r="V168" s="257"/>
      <c r="W168" s="4"/>
      <c r="X168" s="257"/>
      <c r="Y168" s="4"/>
      <c r="Z168" s="257"/>
      <c r="AA168" s="257"/>
      <c r="AB168" s="257"/>
    </row>
    <row r="169" spans="1:30" ht="15" hidden="1" thickBot="1" x14ac:dyDescent="0.35">
      <c r="A169" s="260"/>
      <c r="B169" s="27"/>
      <c r="C169" s="15"/>
      <c r="D169" s="15"/>
      <c r="E169" s="261"/>
      <c r="F169" s="15"/>
      <c r="G169" s="261"/>
      <c r="H169" s="3"/>
      <c r="I169" s="262"/>
      <c r="J169" s="261"/>
      <c r="K169" s="263"/>
      <c r="L169" s="264" t="s">
        <v>99</v>
      </c>
      <c r="M169" s="262"/>
      <c r="N169" s="33" t="s">
        <v>2</v>
      </c>
      <c r="O169" s="34"/>
      <c r="P169" s="35" t="s">
        <v>117</v>
      </c>
      <c r="Q169" s="36"/>
      <c r="R169" s="35" t="s">
        <v>132</v>
      </c>
      <c r="S169" s="36"/>
      <c r="T169" s="257"/>
      <c r="U169" s="36"/>
      <c r="V169" s="257"/>
      <c r="W169" s="36"/>
      <c r="X169" s="257"/>
      <c r="Y169" s="36"/>
      <c r="Z169" s="257"/>
      <c r="AA169" s="257"/>
      <c r="AB169" s="257"/>
    </row>
    <row r="170" spans="1:30" hidden="1" x14ac:dyDescent="0.3">
      <c r="A170" s="256"/>
      <c r="B170" s="27"/>
      <c r="C170" s="15"/>
      <c r="D170" s="15"/>
      <c r="E170" s="214"/>
      <c r="F170" s="15"/>
      <c r="G170" s="214"/>
      <c r="H170" s="3"/>
      <c r="I170" s="265"/>
      <c r="J170" s="265"/>
      <c r="K170" s="266"/>
      <c r="L170" s="265"/>
      <c r="M170" s="265"/>
      <c r="N170" s="265"/>
      <c r="O170" s="265"/>
      <c r="P170" s="265"/>
      <c r="Q170" s="266"/>
      <c r="R170" s="265"/>
      <c r="S170" s="266"/>
      <c r="T170" s="265"/>
      <c r="U170" s="266"/>
      <c r="V170" s="265"/>
      <c r="W170" s="266"/>
      <c r="X170" s="265"/>
      <c r="Y170" s="266"/>
      <c r="Z170" s="265"/>
      <c r="AA170" s="265"/>
      <c r="AB170" s="265"/>
    </row>
    <row r="171" spans="1:30" x14ac:dyDescent="0.3">
      <c r="A171" s="56" t="s">
        <v>100</v>
      </c>
      <c r="B171" s="27"/>
      <c r="C171" s="191" t="s">
        <v>101</v>
      </c>
      <c r="D171" s="15"/>
      <c r="E171" s="45" t="s">
        <v>102</v>
      </c>
      <c r="F171" s="15"/>
      <c r="G171" s="45" t="s">
        <v>102</v>
      </c>
      <c r="H171" s="3"/>
      <c r="I171" s="191" t="s">
        <v>101</v>
      </c>
      <c r="J171" s="267"/>
      <c r="K171" s="268"/>
      <c r="L171" s="191" t="s">
        <v>101</v>
      </c>
      <c r="M171" s="267"/>
      <c r="N171" s="191" t="s">
        <v>102</v>
      </c>
      <c r="O171" s="267"/>
      <c r="P171" s="296" t="s">
        <v>130</v>
      </c>
      <c r="Q171" s="268"/>
      <c r="R171" s="296" t="s">
        <v>130</v>
      </c>
      <c r="S171" s="268"/>
      <c r="T171" s="296" t="s">
        <v>130</v>
      </c>
      <c r="U171" s="268"/>
      <c r="V171" s="341" t="s">
        <v>103</v>
      </c>
      <c r="W171" s="268"/>
      <c r="X171" s="341" t="s">
        <v>103</v>
      </c>
      <c r="Y171" s="268"/>
      <c r="Z171" s="341" t="s">
        <v>103</v>
      </c>
      <c r="AA171" s="341" t="s">
        <v>103</v>
      </c>
      <c r="AB171" s="341" t="s">
        <v>103</v>
      </c>
    </row>
    <row r="172" spans="1:30" x14ac:dyDescent="0.3">
      <c r="A172" s="56"/>
      <c r="B172" s="27"/>
      <c r="C172" s="57">
        <v>2010</v>
      </c>
      <c r="D172" s="15"/>
      <c r="E172" s="57">
        <v>2011</v>
      </c>
      <c r="F172" s="15"/>
      <c r="G172" s="57">
        <v>2012</v>
      </c>
      <c r="H172" s="3"/>
      <c r="I172" s="57">
        <v>2013</v>
      </c>
      <c r="J172" s="58"/>
      <c r="K172" s="59"/>
      <c r="L172" s="57">
        <v>2014</v>
      </c>
      <c r="M172" s="58"/>
      <c r="N172" s="57">
        <v>2015</v>
      </c>
      <c r="O172" s="58"/>
      <c r="P172" s="120">
        <v>2016</v>
      </c>
      <c r="Q172" s="59"/>
      <c r="R172" s="120">
        <v>2017</v>
      </c>
      <c r="S172" s="59"/>
      <c r="T172" s="120">
        <v>2018</v>
      </c>
      <c r="U172" s="59"/>
      <c r="V172" s="301">
        <v>2019</v>
      </c>
      <c r="W172" s="59"/>
      <c r="X172" s="301">
        <v>2020</v>
      </c>
      <c r="Y172" s="59"/>
      <c r="Z172" s="301">
        <v>2021</v>
      </c>
      <c r="AA172" s="301">
        <v>2022</v>
      </c>
      <c r="AB172" s="301">
        <f>AA172+1</f>
        <v>2023</v>
      </c>
    </row>
    <row r="173" spans="1:30" x14ac:dyDescent="0.3">
      <c r="A173" s="56" t="s">
        <v>104</v>
      </c>
      <c r="B173" s="27"/>
      <c r="C173" s="61"/>
      <c r="D173" s="15"/>
      <c r="E173" s="62"/>
      <c r="F173" s="15"/>
      <c r="G173" s="61"/>
      <c r="H173" s="3"/>
      <c r="I173" s="62"/>
      <c r="J173" s="65"/>
      <c r="K173" s="64"/>
      <c r="L173" s="61"/>
      <c r="M173" s="65"/>
      <c r="N173" s="61"/>
      <c r="O173" s="65"/>
      <c r="P173" s="65"/>
      <c r="Q173" s="64"/>
      <c r="R173" s="65"/>
      <c r="S173" s="64"/>
      <c r="T173" s="65"/>
      <c r="U173" s="64"/>
      <c r="V173" s="321"/>
      <c r="W173" s="64"/>
      <c r="X173" s="321"/>
      <c r="Y173" s="64"/>
      <c r="Z173" s="321"/>
      <c r="AA173" s="321"/>
      <c r="AB173" s="321"/>
      <c r="AD173" s="11"/>
    </row>
    <row r="174" spans="1:30" x14ac:dyDescent="0.3">
      <c r="A174" s="147" t="s">
        <v>105</v>
      </c>
      <c r="B174" s="27"/>
      <c r="C174" s="269">
        <f>SUM(C32)</f>
        <v>6644.5774054519761</v>
      </c>
      <c r="D174" s="15"/>
      <c r="E174" s="269">
        <f>SUM(E32)</f>
        <v>7876.3008272199995</v>
      </c>
      <c r="F174" s="15"/>
      <c r="G174" s="269">
        <f>SUM(G32)</f>
        <v>8630.5537097419092</v>
      </c>
      <c r="H174" s="3"/>
      <c r="I174" s="269">
        <f>SUM(I32)</f>
        <v>9501.7079599999997</v>
      </c>
      <c r="J174" s="270"/>
      <c r="K174" s="271"/>
      <c r="L174" s="269">
        <f>SUM(L32)</f>
        <v>11286.939</v>
      </c>
      <c r="M174" s="270"/>
      <c r="N174" s="269">
        <f>SUM(N32)</f>
        <v>12999.765589175515</v>
      </c>
      <c r="O174" s="272"/>
      <c r="P174" s="276">
        <f>SUM(P32)</f>
        <v>12677.752</v>
      </c>
      <c r="Q174" s="273"/>
      <c r="R174" s="276">
        <f>SUM(R32)</f>
        <v>14080.649957033333</v>
      </c>
      <c r="S174" s="273"/>
      <c r="T174" s="306">
        <f>SUM(T32)</f>
        <v>14726.881307847581</v>
      </c>
      <c r="U174" s="273"/>
      <c r="V174" s="342">
        <f>SUM(V32)</f>
        <v>16016.470127787794</v>
      </c>
      <c r="W174" s="273"/>
      <c r="X174" s="342">
        <f>SUM(X32)</f>
        <v>17226.940697680726</v>
      </c>
      <c r="Y174" s="273"/>
      <c r="Z174" s="342">
        <f>SUM(Z32)</f>
        <v>18785.122381012872</v>
      </c>
      <c r="AA174" s="342">
        <f>SUM(AA32)</f>
        <v>20633.65144597978</v>
      </c>
      <c r="AB174" s="342">
        <f>SUM(AB32)</f>
        <v>22548.607624592958</v>
      </c>
      <c r="AD174" s="145"/>
    </row>
    <row r="175" spans="1:30" x14ac:dyDescent="0.3">
      <c r="A175" s="147" t="s">
        <v>106</v>
      </c>
      <c r="B175" s="27"/>
      <c r="C175" s="274"/>
      <c r="D175" s="15"/>
      <c r="E175" s="269"/>
      <c r="F175" s="15"/>
      <c r="G175" s="275"/>
      <c r="H175" s="3"/>
      <c r="I175" s="269"/>
      <c r="J175" s="276"/>
      <c r="K175" s="271"/>
      <c r="L175" s="269"/>
      <c r="M175" s="270"/>
      <c r="N175" s="275"/>
      <c r="O175" s="270"/>
      <c r="P175" s="270"/>
      <c r="Q175" s="271"/>
      <c r="R175" s="270"/>
      <c r="S175" s="271"/>
      <c r="T175" s="272"/>
      <c r="U175" s="271"/>
      <c r="V175" s="342"/>
      <c r="W175" s="271"/>
      <c r="X175" s="342"/>
      <c r="Y175" s="271"/>
      <c r="Z175" s="342"/>
      <c r="AA175" s="342"/>
      <c r="AB175" s="342"/>
      <c r="AD175" s="144"/>
    </row>
    <row r="176" spans="1:30" x14ac:dyDescent="0.3">
      <c r="A176" s="147" t="s">
        <v>107</v>
      </c>
      <c r="B176" s="27"/>
      <c r="C176" s="269">
        <f>SUM(C53)</f>
        <v>3829.9382243772443</v>
      </c>
      <c r="D176" s="15"/>
      <c r="E176" s="269">
        <f>SUM(E53)</f>
        <v>4334.8598087510027</v>
      </c>
      <c r="F176" s="15"/>
      <c r="G176" s="269">
        <f>SUM(G53)</f>
        <v>4690.254523070862</v>
      </c>
      <c r="H176" s="3"/>
      <c r="I176" s="269">
        <f>SUM(I53)</f>
        <v>5359.0285675337436</v>
      </c>
      <c r="J176" s="276"/>
      <c r="K176" s="271"/>
      <c r="L176" s="269">
        <f>SUM(L53)</f>
        <v>5440.7422465869995</v>
      </c>
      <c r="M176" s="270"/>
      <c r="N176" s="269">
        <f>SUM(N53)</f>
        <v>5717.717903841688</v>
      </c>
      <c r="O176" s="272"/>
      <c r="P176" s="276">
        <f>SUM(P53)</f>
        <v>5675.1669887565686</v>
      </c>
      <c r="Q176" s="273"/>
      <c r="R176" s="276">
        <f>SUM(R53)</f>
        <v>6132.3038800000004</v>
      </c>
      <c r="S176" s="273"/>
      <c r="T176" s="276">
        <f>SUM(T53)</f>
        <v>6201.3853499999996</v>
      </c>
      <c r="U176" s="273"/>
      <c r="V176" s="342">
        <f>SUM(V53)</f>
        <v>6744.3764349516696</v>
      </c>
      <c r="W176" s="273"/>
      <c r="X176" s="342">
        <f>SUM(X53)</f>
        <v>7252.4173886671997</v>
      </c>
      <c r="Y176" s="273"/>
      <c r="Z176" s="342">
        <f>SUM(Z53)</f>
        <v>7906.8381211682963</v>
      </c>
      <c r="AA176" s="342">
        <f>SUM(AA53)</f>
        <v>8683.1280695882397</v>
      </c>
      <c r="AB176" s="342">
        <f>SUM(AB53)</f>
        <v>9487.3068806965148</v>
      </c>
      <c r="AD176" s="145"/>
    </row>
    <row r="177" spans="1:30" x14ac:dyDescent="0.3">
      <c r="A177" s="147" t="s">
        <v>108</v>
      </c>
      <c r="B177" s="27"/>
      <c r="C177" s="269">
        <f>SUM(C75)</f>
        <v>6615.1312077205384</v>
      </c>
      <c r="D177" s="15"/>
      <c r="E177" s="269">
        <f>SUM(E75)</f>
        <v>6928.9801069931073</v>
      </c>
      <c r="F177" s="15"/>
      <c r="G177" s="269">
        <f>SUM(G75)</f>
        <v>7219.74299186594</v>
      </c>
      <c r="H177" s="3"/>
      <c r="I177" s="269">
        <f>SUM(I75)</f>
        <v>8163.043288322272</v>
      </c>
      <c r="J177" s="276"/>
      <c r="K177" s="271"/>
      <c r="L177" s="269">
        <f>SUM(L75)</f>
        <v>8456.9513856009962</v>
      </c>
      <c r="M177" s="270"/>
      <c r="N177" s="277">
        <f>SUM(N75)</f>
        <v>8062.4233890853202</v>
      </c>
      <c r="O177" s="272"/>
      <c r="P177" s="276">
        <f>SUM(P75)</f>
        <v>9750.9988719237135</v>
      </c>
      <c r="Q177" s="273"/>
      <c r="R177" s="276">
        <f>SUM(R75)</f>
        <v>10423.24290762867</v>
      </c>
      <c r="S177" s="273"/>
      <c r="T177" s="276">
        <f>SUM(T75)</f>
        <v>11167.5306</v>
      </c>
      <c r="U177" s="273"/>
      <c r="V177" s="342">
        <f>SUM(V75)</f>
        <v>11909.667022410782</v>
      </c>
      <c r="W177" s="273"/>
      <c r="X177" s="342">
        <f>SUM(X75)</f>
        <v>12594.397513534643</v>
      </c>
      <c r="Y177" s="273"/>
      <c r="Z177" s="342">
        <f>SUM(Z75)</f>
        <v>13493.150512239712</v>
      </c>
      <c r="AA177" s="342">
        <f>SUM(AA75)</f>
        <v>14553.199047688655</v>
      </c>
      <c r="AB177" s="342">
        <f>SUM(AB75)</f>
        <v>15650.252264350656</v>
      </c>
      <c r="AD177" s="145"/>
    </row>
    <row r="178" spans="1:30" x14ac:dyDescent="0.3">
      <c r="A178" s="159" t="s">
        <v>109</v>
      </c>
      <c r="B178" s="27"/>
      <c r="C178" s="269">
        <f>SUM(C95)</f>
        <v>8.1994721576394003</v>
      </c>
      <c r="D178" s="15"/>
      <c r="E178" s="269">
        <f>SUM(E95)</f>
        <v>8.6360178140432993</v>
      </c>
      <c r="F178" s="15"/>
      <c r="G178" s="269">
        <f>SUM(G95)</f>
        <v>8.2702146414089999</v>
      </c>
      <c r="H178" s="3"/>
      <c r="I178" s="269">
        <f>SUM(I95)</f>
        <v>9.3172825078781703</v>
      </c>
      <c r="J178" s="276"/>
      <c r="K178" s="271"/>
      <c r="L178" s="269">
        <f>SUM(L95)</f>
        <v>11.382350000000001</v>
      </c>
      <c r="M178" s="270"/>
      <c r="N178" s="278">
        <f>SUM(N95)</f>
        <v>10.468988399999999</v>
      </c>
      <c r="O178" s="279"/>
      <c r="P178" s="279">
        <f>SUM(P95)</f>
        <v>10.51116</v>
      </c>
      <c r="Q178" s="175"/>
      <c r="R178" s="279">
        <f>SUM(R95)</f>
        <v>11.256590000000001</v>
      </c>
      <c r="S178" s="175"/>
      <c r="T178" s="279">
        <f>SUM(T95)</f>
        <v>13.17184</v>
      </c>
      <c r="U178" s="273"/>
      <c r="V178" s="343">
        <f>SUM(V95)</f>
        <v>13.17184</v>
      </c>
      <c r="W178" s="273"/>
      <c r="X178" s="343">
        <f>SUM(X95)</f>
        <v>13.17184</v>
      </c>
      <c r="Y178" s="273"/>
      <c r="Z178" s="343">
        <f>SUM(Z95)</f>
        <v>13.4352768</v>
      </c>
      <c r="AA178" s="343">
        <f>SUM(AA95)</f>
        <v>13.703982336000001</v>
      </c>
      <c r="AB178" s="343">
        <f>SUM(AB95)</f>
        <v>13.97806198272</v>
      </c>
      <c r="AD178" s="145"/>
    </row>
    <row r="179" spans="1:30" x14ac:dyDescent="0.3">
      <c r="A179" s="159" t="s">
        <v>110</v>
      </c>
      <c r="B179" s="27"/>
      <c r="C179" s="178">
        <f>SUM(C111)</f>
        <v>1842.8801699999999</v>
      </c>
      <c r="D179" s="15"/>
      <c r="E179" s="178">
        <f>SUM(E111)</f>
        <v>2029.5941279024175</v>
      </c>
      <c r="F179" s="15"/>
      <c r="G179" s="178">
        <f>SUM(G111)</f>
        <v>1918.901132</v>
      </c>
      <c r="H179" s="3"/>
      <c r="I179" s="178">
        <f>SUM(I111)</f>
        <v>2189.4442599999998</v>
      </c>
      <c r="J179" s="179"/>
      <c r="K179" s="180"/>
      <c r="L179" s="178">
        <f>SUM(L111)</f>
        <v>2525.8229999999999</v>
      </c>
      <c r="M179" s="181"/>
      <c r="N179" s="178">
        <f>SUM(N111)</f>
        <v>2707.3523175999999</v>
      </c>
      <c r="O179" s="183"/>
      <c r="P179" s="179">
        <f>SUM(P111)</f>
        <v>2514.9974500000003</v>
      </c>
      <c r="Q179" s="55"/>
      <c r="R179" s="179">
        <f>SUM(R111)</f>
        <v>2956.1579400000001</v>
      </c>
      <c r="S179" s="55"/>
      <c r="T179" s="179">
        <f>SUM(T111)</f>
        <v>3479.2761100000002</v>
      </c>
      <c r="U179" s="273"/>
      <c r="V179" s="338">
        <f>SUM(V111)</f>
        <v>3479.2761100000002</v>
      </c>
      <c r="W179" s="273"/>
      <c r="X179" s="338">
        <f>SUM(X111)</f>
        <v>3479.2761100000002</v>
      </c>
      <c r="Y179" s="273"/>
      <c r="Z179" s="338">
        <f>SUM(Z111)</f>
        <v>3548.8616322000003</v>
      </c>
      <c r="AA179" s="338">
        <f>SUM(AA111)</f>
        <v>3619.8388648440005</v>
      </c>
      <c r="AB179" s="338">
        <f>SUM(AB111)</f>
        <v>3692.2356421408804</v>
      </c>
      <c r="AD179" s="145"/>
    </row>
    <row r="180" spans="1:30" x14ac:dyDescent="0.3">
      <c r="A180" s="56"/>
      <c r="B180" s="27"/>
      <c r="C180" s="269"/>
      <c r="D180" s="15"/>
      <c r="E180" s="269"/>
      <c r="F180" s="15"/>
      <c r="G180" s="269"/>
      <c r="H180" s="3"/>
      <c r="I180" s="269"/>
      <c r="J180" s="270"/>
      <c r="K180" s="271"/>
      <c r="L180" s="269"/>
      <c r="M180" s="270"/>
      <c r="N180" s="275"/>
      <c r="O180" s="270"/>
      <c r="P180" s="297"/>
      <c r="Q180" s="271"/>
      <c r="R180" s="297"/>
      <c r="S180" s="271"/>
      <c r="T180" s="272"/>
      <c r="U180" s="271"/>
      <c r="V180" s="342"/>
      <c r="W180" s="271"/>
      <c r="X180" s="342"/>
      <c r="Y180" s="271"/>
      <c r="Z180" s="342"/>
      <c r="AA180" s="342"/>
      <c r="AB180" s="342"/>
      <c r="AD180" s="144"/>
    </row>
    <row r="181" spans="1:30" x14ac:dyDescent="0.3">
      <c r="A181" s="147" t="s">
        <v>111</v>
      </c>
      <c r="B181" s="27"/>
      <c r="C181" s="178">
        <f>SUM(C174:C179)</f>
        <v>18940.726479707399</v>
      </c>
      <c r="D181" s="15"/>
      <c r="E181" s="178">
        <f>SUM(E174:E179)</f>
        <v>21178.370888680573</v>
      </c>
      <c r="F181" s="15"/>
      <c r="G181" s="178">
        <f t="shared" ref="G181:I181" si="109">SUM(G174:G179)</f>
        <v>22467.722571320119</v>
      </c>
      <c r="H181" s="3"/>
      <c r="I181" s="178">
        <f t="shared" si="109"/>
        <v>25222.541358363891</v>
      </c>
      <c r="J181" s="181"/>
      <c r="K181" s="180"/>
      <c r="L181" s="178">
        <f t="shared" ref="L181:AA181" si="110">SUM(L174:L179)</f>
        <v>27721.837982187997</v>
      </c>
      <c r="M181" s="181"/>
      <c r="N181" s="178">
        <f t="shared" ref="N181" si="111">SUM(N174:N179)</f>
        <v>29497.728188102526</v>
      </c>
      <c r="O181" s="280"/>
      <c r="P181" s="179">
        <f t="shared" si="110"/>
        <v>30629.426470680279</v>
      </c>
      <c r="Q181" s="281"/>
      <c r="R181" s="179">
        <f>SUM(R174:R179)</f>
        <v>33603.611274662006</v>
      </c>
      <c r="S181" s="281"/>
      <c r="T181" s="179">
        <f>SUM(T174:T179)</f>
        <v>35588.245207847584</v>
      </c>
      <c r="U181" s="273"/>
      <c r="V181" s="338">
        <f t="shared" si="110"/>
        <v>38162.961535150243</v>
      </c>
      <c r="W181" s="273"/>
      <c r="X181" s="338">
        <f t="shared" si="110"/>
        <v>40566.203549882572</v>
      </c>
      <c r="Y181" s="273"/>
      <c r="Z181" s="338">
        <f t="shared" si="110"/>
        <v>43747.407923420884</v>
      </c>
      <c r="AA181" s="338">
        <f t="shared" si="110"/>
        <v>47503.521410436682</v>
      </c>
      <c r="AB181" s="338">
        <f>SUM(AB174:AB179)</f>
        <v>51392.380473763726</v>
      </c>
      <c r="AD181" s="144"/>
    </row>
    <row r="182" spans="1:30" x14ac:dyDescent="0.3">
      <c r="A182" s="56"/>
      <c r="B182" s="27"/>
      <c r="C182" s="274"/>
      <c r="D182" s="15"/>
      <c r="E182" s="269"/>
      <c r="F182" s="15"/>
      <c r="G182" s="269"/>
      <c r="H182" s="3"/>
      <c r="I182" s="269"/>
      <c r="J182" s="270"/>
      <c r="K182" s="271"/>
      <c r="L182" s="269"/>
      <c r="M182" s="270"/>
      <c r="N182" s="269"/>
      <c r="O182" s="270"/>
      <c r="P182" s="276"/>
      <c r="Q182" s="271"/>
      <c r="R182" s="276"/>
      <c r="S182" s="271"/>
      <c r="T182" s="272"/>
      <c r="U182" s="271"/>
      <c r="V182" s="342"/>
      <c r="W182" s="271"/>
      <c r="X182" s="342"/>
      <c r="Y182" s="271"/>
      <c r="Z182" s="342"/>
      <c r="AA182" s="342"/>
      <c r="AB182" s="342"/>
      <c r="AD182" s="144"/>
    </row>
    <row r="183" spans="1:30" x14ac:dyDescent="0.3">
      <c r="A183" s="56" t="s">
        <v>112</v>
      </c>
      <c r="B183" s="27"/>
      <c r="C183" s="274"/>
      <c r="D183" s="15"/>
      <c r="E183" s="269"/>
      <c r="F183" s="15"/>
      <c r="G183" s="269"/>
      <c r="H183" s="3"/>
      <c r="I183" s="269"/>
      <c r="J183" s="270"/>
      <c r="K183" s="271"/>
      <c r="L183" s="269"/>
      <c r="M183" s="270"/>
      <c r="N183" s="269"/>
      <c r="O183" s="270"/>
      <c r="P183" s="276"/>
      <c r="Q183" s="271"/>
      <c r="R183" s="276"/>
      <c r="S183" s="271"/>
      <c r="T183" s="272"/>
      <c r="U183" s="271"/>
      <c r="V183" s="342"/>
      <c r="W183" s="271"/>
      <c r="X183" s="342"/>
      <c r="Y183" s="271"/>
      <c r="Z183" s="342"/>
      <c r="AA183" s="342"/>
      <c r="AB183" s="342"/>
      <c r="AD183" s="144"/>
    </row>
    <row r="184" spans="1:30" x14ac:dyDescent="0.3">
      <c r="A184" s="147" t="s">
        <v>113</v>
      </c>
      <c r="B184" s="27"/>
      <c r="C184" s="269">
        <f>SUM(C130)</f>
        <v>1843</v>
      </c>
      <c r="D184" s="15"/>
      <c r="E184" s="269">
        <f>SUM(E130)</f>
        <v>1939.7429074619999</v>
      </c>
      <c r="F184" s="15"/>
      <c r="G184" s="269">
        <f>SUM(G130)</f>
        <v>2238.4238615852555</v>
      </c>
      <c r="H184" s="3"/>
      <c r="I184" s="269">
        <f>SUM(I130)</f>
        <v>2444.3019199999999</v>
      </c>
      <c r="J184" s="270"/>
      <c r="K184" s="271"/>
      <c r="L184" s="269">
        <f>SUM(L130)</f>
        <v>2941.3620000000001</v>
      </c>
      <c r="M184" s="270"/>
      <c r="N184" s="269">
        <f>SUM(N130)</f>
        <v>2778.7148000000002</v>
      </c>
      <c r="O184" s="272"/>
      <c r="P184" s="276">
        <f>SUM(P130)</f>
        <v>2723.0960382527305</v>
      </c>
      <c r="Q184" s="273"/>
      <c r="R184" s="276">
        <f>SUM(R130)</f>
        <v>3018.7944147768244</v>
      </c>
      <c r="S184" s="273"/>
      <c r="T184" s="306">
        <f>SUM(T130)</f>
        <v>3836.8046227566497</v>
      </c>
      <c r="U184" s="273"/>
      <c r="V184" s="342">
        <f>SUM(V130)</f>
        <v>4056.9341297697324</v>
      </c>
      <c r="W184" s="273"/>
      <c r="X184" s="342">
        <f>SUM(X130)</f>
        <v>4329.5992272442627</v>
      </c>
      <c r="Y184" s="273"/>
      <c r="Z184" s="342">
        <f>SUM(Z130)</f>
        <v>4642.5398927670158</v>
      </c>
      <c r="AA184" s="342">
        <f>SUM(AA130)</f>
        <v>4968.3039564781311</v>
      </c>
      <c r="AB184" s="342">
        <f>SUM(AB130)</f>
        <v>5305.2415667805853</v>
      </c>
      <c r="AD184" s="145"/>
    </row>
    <row r="185" spans="1:30" x14ac:dyDescent="0.3">
      <c r="A185" s="147" t="s">
        <v>107</v>
      </c>
      <c r="B185" s="27"/>
      <c r="C185" s="269">
        <f>SUM(C147)</f>
        <v>802.70764039063442</v>
      </c>
      <c r="D185" s="15"/>
      <c r="E185" s="269">
        <f>SUM(E147)</f>
        <v>856.09079069341112</v>
      </c>
      <c r="F185" s="15"/>
      <c r="G185" s="269">
        <f>SUM(G147)</f>
        <v>1112.580366038414</v>
      </c>
      <c r="H185" s="3"/>
      <c r="I185" s="269">
        <f>SUM(I147)</f>
        <v>1255.1733400000001</v>
      </c>
      <c r="J185" s="276"/>
      <c r="K185" s="271"/>
      <c r="L185" s="269">
        <f>SUM(L147)</f>
        <v>1336.7211187574665</v>
      </c>
      <c r="M185" s="270"/>
      <c r="N185" s="269">
        <f>SUM(N147)</f>
        <v>1396.8021189769413</v>
      </c>
      <c r="O185" s="272"/>
      <c r="P185" s="276">
        <f>SUM(P147)</f>
        <v>1470.0476900000001</v>
      </c>
      <c r="Q185" s="273"/>
      <c r="R185" s="276">
        <f>SUM(R147)</f>
        <v>1640.8960900000002</v>
      </c>
      <c r="S185" s="273"/>
      <c r="T185" s="276">
        <f>SUM(T147)</f>
        <v>1765.7096300000001</v>
      </c>
      <c r="U185" s="273"/>
      <c r="V185" s="342">
        <f>SUM(V147)</f>
        <v>1860.6644010977882</v>
      </c>
      <c r="W185" s="273"/>
      <c r="X185" s="342">
        <f>SUM(X147)</f>
        <v>1976.6550580430069</v>
      </c>
      <c r="Y185" s="273"/>
      <c r="Z185" s="342">
        <f>SUM(Z147)</f>
        <v>2112.4759952653162</v>
      </c>
      <c r="AA185" s="342">
        <f>SUM(AA147)</f>
        <v>2253.8058997452972</v>
      </c>
      <c r="AB185" s="342">
        <f>SUM(AB147)</f>
        <v>2399.9440100063721</v>
      </c>
      <c r="AD185" s="145"/>
    </row>
    <row r="186" spans="1:30" x14ac:dyDescent="0.3">
      <c r="A186" s="147" t="s">
        <v>114</v>
      </c>
      <c r="B186" s="27"/>
      <c r="C186" s="269">
        <f>SUM(C165)</f>
        <v>1651.2090986008304</v>
      </c>
      <c r="D186" s="15"/>
      <c r="E186" s="269">
        <f>SUM(E165)</f>
        <v>1791.0314800000001</v>
      </c>
      <c r="F186" s="15"/>
      <c r="G186" s="269">
        <f>SUM(G165)</f>
        <v>2030.6547399999999</v>
      </c>
      <c r="H186" s="3"/>
      <c r="I186" s="269">
        <f>SUM(I165)</f>
        <v>2137.1771711399883</v>
      </c>
      <c r="J186" s="276"/>
      <c r="K186" s="271"/>
      <c r="L186" s="269">
        <f>SUM(L165)</f>
        <v>2378.8604999999998</v>
      </c>
      <c r="M186" s="270"/>
      <c r="N186" s="269">
        <f>SUM(N165)</f>
        <v>2651</v>
      </c>
      <c r="O186" s="276"/>
      <c r="P186" s="276">
        <f>SUM(P165)</f>
        <v>3184.1441200000004</v>
      </c>
      <c r="Q186" s="175"/>
      <c r="R186" s="276">
        <f>SUM(R165)</f>
        <v>3678.2691199999999</v>
      </c>
      <c r="S186" s="175"/>
      <c r="T186" s="276">
        <f>SUM(T165)</f>
        <v>4412.0574500000002</v>
      </c>
      <c r="U186" s="273"/>
      <c r="V186" s="342">
        <f>SUM(V165)</f>
        <v>4696.4188273998825</v>
      </c>
      <c r="W186" s="273"/>
      <c r="X186" s="342">
        <f>SUM(X165)</f>
        <v>4982.9953011707285</v>
      </c>
      <c r="Y186" s="273"/>
      <c r="Z186" s="342">
        <f>SUM(Z165)</f>
        <v>5350.2683834247537</v>
      </c>
      <c r="AA186" s="342">
        <f>SUM(AA165)</f>
        <v>5731.8699214799708</v>
      </c>
      <c r="AB186" s="342">
        <f>SUM(AB165)</f>
        <v>6126.5954137040262</v>
      </c>
      <c r="AD186" s="145"/>
    </row>
    <row r="187" spans="1:30" x14ac:dyDescent="0.3">
      <c r="A187" s="56" t="s">
        <v>43</v>
      </c>
      <c r="B187" s="27"/>
      <c r="C187" s="178">
        <v>0</v>
      </c>
      <c r="D187" s="15"/>
      <c r="E187" s="178">
        <v>0</v>
      </c>
      <c r="F187" s="15"/>
      <c r="G187" s="178">
        <v>0</v>
      </c>
      <c r="H187" s="3"/>
      <c r="I187" s="178">
        <v>0</v>
      </c>
      <c r="J187" s="179"/>
      <c r="K187" s="180"/>
      <c r="L187" s="178">
        <v>0</v>
      </c>
      <c r="M187" s="181"/>
      <c r="N187" s="178">
        <v>0</v>
      </c>
      <c r="O187" s="181"/>
      <c r="P187" s="179">
        <v>0</v>
      </c>
      <c r="Q187" s="180"/>
      <c r="R187" s="179">
        <v>0</v>
      </c>
      <c r="S187" s="180"/>
      <c r="T187" s="179">
        <v>0</v>
      </c>
      <c r="U187" s="273"/>
      <c r="V187" s="338">
        <v>0</v>
      </c>
      <c r="W187" s="273"/>
      <c r="X187" s="338">
        <v>0</v>
      </c>
      <c r="Y187" s="273"/>
      <c r="Z187" s="338">
        <v>0</v>
      </c>
      <c r="AA187" s="338">
        <v>0</v>
      </c>
      <c r="AB187" s="338">
        <v>0</v>
      </c>
      <c r="AD187" s="144"/>
    </row>
    <row r="188" spans="1:30" x14ac:dyDescent="0.3">
      <c r="A188" s="147" t="s">
        <v>111</v>
      </c>
      <c r="B188" s="27"/>
      <c r="C188" s="269"/>
      <c r="D188" s="15"/>
      <c r="E188" s="269"/>
      <c r="F188" s="15"/>
      <c r="G188" s="269"/>
      <c r="H188" s="3"/>
      <c r="I188" s="269"/>
      <c r="J188" s="270"/>
      <c r="K188" s="271"/>
      <c r="L188" s="269"/>
      <c r="M188" s="270"/>
      <c r="N188" s="269"/>
      <c r="O188" s="270"/>
      <c r="P188" s="276"/>
      <c r="Q188" s="271"/>
      <c r="R188" s="276"/>
      <c r="S188" s="271"/>
      <c r="T188" s="272"/>
      <c r="U188" s="271"/>
      <c r="V188" s="342"/>
      <c r="W188" s="271"/>
      <c r="X188" s="342"/>
      <c r="Y188" s="271"/>
      <c r="Z188" s="342"/>
      <c r="AA188" s="342"/>
      <c r="AB188" s="342"/>
      <c r="AD188" s="27"/>
    </row>
    <row r="189" spans="1:30" x14ac:dyDescent="0.3">
      <c r="A189" s="56"/>
      <c r="B189" s="27"/>
      <c r="C189" s="178">
        <f>SUM(C184:C186)</f>
        <v>4296.9167389914646</v>
      </c>
      <c r="D189" s="15"/>
      <c r="E189" s="178">
        <f>SUM(E184:E186)</f>
        <v>4586.8651781554108</v>
      </c>
      <c r="F189" s="15"/>
      <c r="G189" s="178">
        <f t="shared" ref="G189:I189" si="112">SUM(G184:G186)</f>
        <v>5381.658967623669</v>
      </c>
      <c r="H189" s="3"/>
      <c r="I189" s="178">
        <f t="shared" si="112"/>
        <v>5836.652431139988</v>
      </c>
      <c r="J189" s="181"/>
      <c r="K189" s="180"/>
      <c r="L189" s="178">
        <f t="shared" ref="L189:AB189" si="113">SUM(L184:L186)</f>
        <v>6656.9436187574665</v>
      </c>
      <c r="M189" s="181"/>
      <c r="N189" s="178">
        <f t="shared" ref="N189" si="114">SUM(N184:N186)</f>
        <v>6826.5169189769413</v>
      </c>
      <c r="O189" s="181"/>
      <c r="P189" s="179">
        <f t="shared" si="113"/>
        <v>7377.2878482527303</v>
      </c>
      <c r="Q189" s="180"/>
      <c r="R189" s="179">
        <f>SUM(R184:R186)</f>
        <v>8337.9596247768241</v>
      </c>
      <c r="S189" s="180"/>
      <c r="T189" s="179">
        <f>SUM(T184:T186)</f>
        <v>10014.57170275665</v>
      </c>
      <c r="U189" s="273"/>
      <c r="V189" s="338">
        <f t="shared" si="113"/>
        <v>10614.017358267403</v>
      </c>
      <c r="W189" s="273"/>
      <c r="X189" s="338">
        <f t="shared" si="113"/>
        <v>11289.249586457998</v>
      </c>
      <c r="Y189" s="273"/>
      <c r="Z189" s="338">
        <f t="shared" si="113"/>
        <v>12105.284271457087</v>
      </c>
      <c r="AA189" s="338">
        <f t="shared" si="113"/>
        <v>12953.9797777034</v>
      </c>
      <c r="AB189" s="338">
        <f t="shared" si="113"/>
        <v>13831.780990490985</v>
      </c>
    </row>
    <row r="190" spans="1:30" x14ac:dyDescent="0.3">
      <c r="A190" s="56" t="s">
        <v>115</v>
      </c>
      <c r="B190" s="27"/>
      <c r="C190" s="269"/>
      <c r="D190" s="15"/>
      <c r="E190" s="269"/>
      <c r="F190" s="15"/>
      <c r="G190" s="269"/>
      <c r="H190" s="3"/>
      <c r="I190" s="269"/>
      <c r="J190" s="270"/>
      <c r="K190" s="271"/>
      <c r="L190" s="275"/>
      <c r="M190" s="270"/>
      <c r="N190" s="277"/>
      <c r="O190" s="270"/>
      <c r="P190" s="297"/>
      <c r="Q190" s="271"/>
      <c r="R190" s="297"/>
      <c r="S190" s="271"/>
      <c r="T190" s="270"/>
      <c r="U190" s="271"/>
      <c r="V190" s="342"/>
      <c r="W190" s="271"/>
      <c r="X190" s="342"/>
      <c r="Y190" s="271"/>
      <c r="Z190" s="342"/>
      <c r="AA190" s="342"/>
      <c r="AB190" s="342"/>
    </row>
    <row r="191" spans="1:30" ht="15" thickBot="1" x14ac:dyDescent="0.35">
      <c r="A191" s="56"/>
      <c r="B191" s="27"/>
      <c r="C191" s="112">
        <f>SUM(C181+C189)</f>
        <v>23237.643218698864</v>
      </c>
      <c r="D191" s="15"/>
      <c r="E191" s="112">
        <f>SUM(E181+E189)</f>
        <v>25765.236066835983</v>
      </c>
      <c r="F191" s="15"/>
      <c r="G191" s="112">
        <f>SUM(G181+G189)</f>
        <v>27849.381538943788</v>
      </c>
      <c r="H191" s="3"/>
      <c r="I191" s="112">
        <f>SUM(I181+I189)</f>
        <v>31059.193789503879</v>
      </c>
      <c r="J191" s="113"/>
      <c r="K191" s="114"/>
      <c r="L191" s="112">
        <f>SUM(L181+L189)</f>
        <v>34378.781600945462</v>
      </c>
      <c r="M191" s="113"/>
      <c r="N191" s="282">
        <f>SUM(N181+N189)</f>
        <v>36324.24510707947</v>
      </c>
      <c r="O191" s="113"/>
      <c r="P191" s="141">
        <f>SUM(P181+P189)</f>
        <v>38006.714318933009</v>
      </c>
      <c r="Q191" s="114"/>
      <c r="R191" s="141">
        <f>SUM(R181+R189)</f>
        <v>41941.570899438826</v>
      </c>
      <c r="S191" s="114"/>
      <c r="T191" s="141">
        <f>SUM(T181+T189)</f>
        <v>45602.816910604233</v>
      </c>
      <c r="U191" s="273"/>
      <c r="V191" s="320">
        <f>SUM(V181+V189)</f>
        <v>48776.978893417647</v>
      </c>
      <c r="W191" s="273"/>
      <c r="X191" s="320">
        <f>SUM(X181+X189)</f>
        <v>51855.453136340569</v>
      </c>
      <c r="Y191" s="273"/>
      <c r="Z191" s="320">
        <f>SUM(Z181+Z189)</f>
        <v>55852.692194877971</v>
      </c>
      <c r="AA191" s="320">
        <f>SUM(AA181+AA189)</f>
        <v>60457.501188140086</v>
      </c>
      <c r="AB191" s="320">
        <f>SUM(AB181+AB189)</f>
        <v>65224.161464254707</v>
      </c>
    </row>
    <row r="192" spans="1:30" ht="15" thickTop="1" x14ac:dyDescent="0.3">
      <c r="A192" s="56"/>
      <c r="B192" s="27"/>
      <c r="C192" s="283"/>
      <c r="D192" s="15"/>
      <c r="E192" s="284"/>
      <c r="F192" s="15"/>
      <c r="G192" s="285"/>
      <c r="H192" s="3"/>
      <c r="I192" s="285"/>
      <c r="J192" s="285"/>
      <c r="K192" s="286"/>
      <c r="L192" s="285"/>
      <c r="M192" s="285"/>
      <c r="N192" s="285"/>
      <c r="O192" s="285"/>
      <c r="P192" s="285"/>
      <c r="Q192" s="286"/>
      <c r="R192" s="285"/>
      <c r="S192" s="286"/>
      <c r="T192" s="285"/>
      <c r="U192" s="286"/>
      <c r="V192" s="285" t="s">
        <v>142</v>
      </c>
      <c r="W192" s="286"/>
      <c r="X192" s="285" t="s">
        <v>143</v>
      </c>
      <c r="Y192" s="286"/>
      <c r="Z192" s="285" t="s">
        <v>116</v>
      </c>
      <c r="AA192" s="285" t="s">
        <v>116</v>
      </c>
      <c r="AB192" s="285" t="s">
        <v>116</v>
      </c>
    </row>
    <row r="193" spans="1:28" x14ac:dyDescent="0.3">
      <c r="A193" s="25"/>
      <c r="B193" s="287"/>
      <c r="C193" s="288" t="e">
        <f>SUM(C191-#REF!)</f>
        <v>#REF!</v>
      </c>
      <c r="D193" s="18"/>
      <c r="E193" s="289">
        <f>SUM(E191-C191)</f>
        <v>2527.5928481371193</v>
      </c>
      <c r="F193" s="18"/>
      <c r="G193" s="289">
        <f>SUM(G191-E191)</f>
        <v>2084.1454721078044</v>
      </c>
      <c r="H193" s="6"/>
      <c r="I193" s="289">
        <f>SUM(I191-G191)</f>
        <v>3209.8122505600913</v>
      </c>
      <c r="J193" s="289"/>
      <c r="K193" s="290"/>
      <c r="L193" s="289">
        <f>SUM(L191-I191)</f>
        <v>3319.5878114415827</v>
      </c>
      <c r="M193" s="289"/>
      <c r="N193" s="289">
        <f>SUM(N191-L191)</f>
        <v>1945.4635061340086</v>
      </c>
      <c r="O193" s="289"/>
      <c r="P193" s="289">
        <f>SUM(P191-N191)</f>
        <v>1682.4692118535386</v>
      </c>
      <c r="Q193" s="290"/>
      <c r="R193" s="289">
        <f>SUM(R191-P191)</f>
        <v>3934.856580505817</v>
      </c>
      <c r="S193" s="290"/>
      <c r="T193" s="289">
        <f>SUM(T191-R191)</f>
        <v>3661.2460111654073</v>
      </c>
      <c r="U193" s="290"/>
      <c r="V193" s="289">
        <f>SUM(V191-T191)</f>
        <v>3174.1619828134135</v>
      </c>
      <c r="W193" s="290"/>
      <c r="X193" s="289">
        <f>SUM(X191-V191)</f>
        <v>3078.4742429229227</v>
      </c>
      <c r="Y193" s="290"/>
      <c r="Z193" s="289">
        <f>SUM(Z191-X191)</f>
        <v>3997.2390585374014</v>
      </c>
      <c r="AA193" s="289">
        <f>SUM(AA191-Z191)</f>
        <v>4604.8089932621151</v>
      </c>
      <c r="AB193" s="289">
        <f>SUM(AB191-AA191)</f>
        <v>4766.6602761146205</v>
      </c>
    </row>
    <row r="194" spans="1:28" x14ac:dyDescent="0.3">
      <c r="G194" s="11"/>
      <c r="I194" s="11"/>
      <c r="J194" s="11"/>
      <c r="K194" s="291"/>
      <c r="L194" s="11"/>
      <c r="M194" s="11"/>
      <c r="N194" s="11"/>
      <c r="O194" s="11"/>
      <c r="P194" s="11"/>
      <c r="Q194" s="291"/>
      <c r="R194" s="11"/>
      <c r="S194" s="291"/>
      <c r="T194" s="11"/>
      <c r="U194" s="291"/>
      <c r="W194" s="291"/>
      <c r="Y194" s="291"/>
    </row>
    <row r="195" spans="1:28" x14ac:dyDescent="0.3">
      <c r="V195" s="10"/>
      <c r="X195" s="10"/>
      <c r="Z195" s="10"/>
      <c r="AA195" s="10"/>
      <c r="AB195" s="10"/>
    </row>
  </sheetData>
  <pageMargins left="0.7" right="0.7" top="0.75" bottom="0.75" header="0.3" footer="0.3"/>
  <pageSetup scale="78" fitToHeight="0" orientation="landscape" r:id="rId1"/>
  <rowBreaks count="6" manualBreakCount="6">
    <brk id="33" max="16383" man="1"/>
    <brk id="54" max="23" man="1"/>
    <brk id="76" max="16383" man="1"/>
    <brk id="111" max="23" man="1"/>
    <brk id="147" max="23" man="1"/>
    <brk id="165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195"/>
  <sheetViews>
    <sheetView zoomScaleNormal="100" workbookViewId="0">
      <pane xSplit="1" ySplit="9" topLeftCell="H175" activePane="bottomRight" state="frozen"/>
      <selection pane="topRight" activeCell="B1" sqref="B1"/>
      <selection pane="bottomLeft" activeCell="A10" sqref="A10"/>
      <selection pane="bottomRight" activeCell="V20" sqref="V20"/>
    </sheetView>
  </sheetViews>
  <sheetFormatPr defaultColWidth="9.109375" defaultRowHeight="14.4" outlineLevelCol="1" x14ac:dyDescent="0.3"/>
  <cols>
    <col min="1" max="1" width="57.33203125" style="12" customWidth="1"/>
    <col min="2" max="2" width="5.6640625" style="9" hidden="1" customWidth="1" outlineLevel="1"/>
    <col min="3" max="3" width="21.33203125" style="12" hidden="1" customWidth="1" outlineLevel="1"/>
    <col min="4" max="4" width="6.44140625" style="12" hidden="1" customWidth="1" outlineLevel="1"/>
    <col min="5" max="5" width="21.33203125" style="12" hidden="1" customWidth="1" outlineLevel="1"/>
    <col min="6" max="6" width="7.33203125" style="12" hidden="1" customWidth="1" outlineLevel="1"/>
    <col min="7" max="7" width="21.33203125" style="12" hidden="1" customWidth="1" outlineLevel="1"/>
    <col min="8" max="8" width="5.33203125" style="1" hidden="1" customWidth="1" outlineLevel="1"/>
    <col min="9" max="9" width="21.33203125" style="12" hidden="1" customWidth="1" outlineLevel="1"/>
    <col min="10" max="10" width="4.6640625" style="12" hidden="1" customWidth="1" outlineLevel="1"/>
    <col min="11" max="11" width="6.33203125" style="2" hidden="1" customWidth="1" outlineLevel="1"/>
    <col min="12" max="12" width="21.33203125" style="12" hidden="1" customWidth="1" outlineLevel="1"/>
    <col min="13" max="13" width="6.33203125" style="13" hidden="1" customWidth="1" outlineLevel="1"/>
    <col min="14" max="14" width="21.33203125" style="12" hidden="1" customWidth="1" outlineLevel="1"/>
    <col min="15" max="15" width="12.44140625" style="13" hidden="1" customWidth="1" outlineLevel="1"/>
    <col min="16" max="16" width="18.6640625" style="12" hidden="1" customWidth="1" outlineLevel="1" collapsed="1"/>
    <col min="17" max="17" width="7.6640625" style="2" hidden="1" customWidth="1" outlineLevel="1"/>
    <col min="18" max="18" width="18.6640625" style="12" customWidth="1" collapsed="1"/>
    <col min="19" max="19" width="7.6640625" style="2" customWidth="1"/>
    <col min="20" max="20" width="18.6640625" style="12" customWidth="1"/>
    <col min="21" max="21" width="7.6640625" style="2" customWidth="1"/>
    <col min="22" max="22" width="18.6640625" style="12" customWidth="1"/>
    <col min="23" max="23" width="7.6640625" style="2" customWidth="1"/>
    <col min="24" max="24" width="18.6640625" style="12" customWidth="1"/>
    <col min="25" max="25" width="7.6640625" style="2" customWidth="1"/>
    <col min="26" max="28" width="18.6640625" style="12" customWidth="1"/>
    <col min="29" max="16384" width="9.109375" style="12"/>
  </cols>
  <sheetData>
    <row r="1" spans="1:31" x14ac:dyDescent="0.3">
      <c r="A1" s="256" t="s">
        <v>151</v>
      </c>
      <c r="R1" s="298" t="s">
        <v>0</v>
      </c>
      <c r="T1" s="298" t="s">
        <v>0</v>
      </c>
      <c r="V1" s="298" t="s">
        <v>0</v>
      </c>
      <c r="X1" s="298" t="s">
        <v>0</v>
      </c>
      <c r="Z1" s="298" t="s">
        <v>0</v>
      </c>
      <c r="AA1" s="298" t="s">
        <v>0</v>
      </c>
      <c r="AB1" s="298" t="s">
        <v>0</v>
      </c>
      <c r="AD1" s="300"/>
      <c r="AE1" s="12" t="s">
        <v>103</v>
      </c>
    </row>
    <row r="2" spans="1:31" x14ac:dyDescent="0.3">
      <c r="B2" s="27"/>
      <c r="C2" s="27"/>
      <c r="D2" s="27"/>
      <c r="E2" s="27"/>
      <c r="F2" s="27"/>
      <c r="J2" s="14"/>
      <c r="K2" s="12"/>
      <c r="O2" s="14"/>
      <c r="Q2" s="4"/>
      <c r="R2" s="299" t="s">
        <v>125</v>
      </c>
      <c r="S2" s="4"/>
      <c r="T2" s="299" t="s">
        <v>145</v>
      </c>
      <c r="U2" s="4"/>
      <c r="V2" s="299" t="s">
        <v>145</v>
      </c>
      <c r="W2" s="4"/>
      <c r="X2" s="299" t="s">
        <v>145</v>
      </c>
      <c r="Y2" s="4"/>
      <c r="Z2" s="299" t="s">
        <v>145</v>
      </c>
      <c r="AA2" s="299" t="s">
        <v>145</v>
      </c>
      <c r="AB2" s="299" t="s">
        <v>145</v>
      </c>
    </row>
    <row r="3" spans="1:31" ht="15" thickBot="1" x14ac:dyDescent="0.35">
      <c r="B3" s="27"/>
      <c r="C3" s="27"/>
      <c r="D3" s="27"/>
      <c r="E3" s="27"/>
      <c r="F3" s="27"/>
      <c r="G3" s="15"/>
      <c r="H3" s="29" t="s">
        <v>1</v>
      </c>
      <c r="I3" s="30"/>
      <c r="J3" s="31"/>
      <c r="K3" s="32"/>
      <c r="L3" s="3"/>
      <c r="M3" s="4"/>
      <c r="N3" s="3"/>
      <c r="O3" s="34"/>
      <c r="P3" s="3"/>
      <c r="Q3" s="36"/>
      <c r="R3" s="264" t="s">
        <v>141</v>
      </c>
      <c r="S3" s="36"/>
      <c r="T3" s="264" t="s">
        <v>146</v>
      </c>
      <c r="U3" s="36"/>
      <c r="V3" s="264" t="s">
        <v>146</v>
      </c>
      <c r="W3" s="36"/>
      <c r="X3" s="264" t="s">
        <v>146</v>
      </c>
      <c r="Y3" s="36"/>
      <c r="Z3" s="264" t="s">
        <v>146</v>
      </c>
      <c r="AA3" s="264" t="s">
        <v>146</v>
      </c>
      <c r="AB3" s="264" t="s">
        <v>146</v>
      </c>
    </row>
    <row r="4" spans="1:31" x14ac:dyDescent="0.3">
      <c r="C4" s="16" t="s">
        <v>3</v>
      </c>
      <c r="E4" s="16" t="s">
        <v>3</v>
      </c>
      <c r="G4" s="16" t="s">
        <v>3</v>
      </c>
      <c r="I4" s="16" t="s">
        <v>3</v>
      </c>
      <c r="J4" s="17"/>
      <c r="K4" s="5"/>
      <c r="L4" s="16" t="s">
        <v>3</v>
      </c>
      <c r="M4" s="17"/>
      <c r="N4" s="16" t="s">
        <v>3</v>
      </c>
      <c r="O4" s="17"/>
      <c r="P4" s="16" t="s">
        <v>3</v>
      </c>
      <c r="Q4" s="5"/>
      <c r="R4" s="16" t="s">
        <v>3</v>
      </c>
      <c r="S4" s="5"/>
      <c r="T4" s="16" t="s">
        <v>3</v>
      </c>
      <c r="U4" s="5"/>
      <c r="V4" s="16" t="s">
        <v>3</v>
      </c>
      <c r="W4" s="5"/>
      <c r="X4" s="16" t="s">
        <v>3</v>
      </c>
      <c r="Y4" s="5"/>
      <c r="Z4" s="16" t="s">
        <v>3</v>
      </c>
      <c r="AA4" s="16" t="s">
        <v>3</v>
      </c>
      <c r="AB4" s="16" t="s">
        <v>3</v>
      </c>
    </row>
    <row r="5" spans="1:31" x14ac:dyDescent="0.3">
      <c r="A5" s="37" t="s">
        <v>4</v>
      </c>
      <c r="C5" s="38">
        <v>2009</v>
      </c>
      <c r="E5" s="38">
        <v>2010</v>
      </c>
      <c r="G5" s="38">
        <v>2011</v>
      </c>
      <c r="I5" s="38">
        <v>2012</v>
      </c>
      <c r="J5" s="39"/>
      <c r="K5" s="40"/>
      <c r="L5" s="38">
        <v>2013</v>
      </c>
      <c r="M5" s="39"/>
      <c r="N5" s="38">
        <v>2014</v>
      </c>
      <c r="O5" s="39"/>
      <c r="P5" s="39">
        <v>2015</v>
      </c>
      <c r="Q5" s="40"/>
      <c r="R5" s="39">
        <v>2016</v>
      </c>
      <c r="S5" s="40"/>
      <c r="T5" s="39">
        <v>2017</v>
      </c>
      <c r="U5" s="40"/>
      <c r="V5" s="307">
        <f>T5+1</f>
        <v>2018</v>
      </c>
      <c r="W5" s="40"/>
      <c r="X5" s="307">
        <f>V5+1</f>
        <v>2019</v>
      </c>
      <c r="Y5" s="40"/>
      <c r="Z5" s="307">
        <f>X5+1</f>
        <v>2020</v>
      </c>
      <c r="AA5" s="307">
        <f t="shared" ref="AA5:AB7" si="0">Z5+1</f>
        <v>2021</v>
      </c>
      <c r="AB5" s="307">
        <f t="shared" si="0"/>
        <v>2022</v>
      </c>
    </row>
    <row r="6" spans="1:31" x14ac:dyDescent="0.3">
      <c r="A6" s="37" t="s">
        <v>5</v>
      </c>
      <c r="C6" s="41">
        <v>2010</v>
      </c>
      <c r="E6" s="41">
        <v>2011</v>
      </c>
      <c r="G6" s="41">
        <v>2012</v>
      </c>
      <c r="I6" s="41">
        <v>2013</v>
      </c>
      <c r="J6" s="42"/>
      <c r="K6" s="43"/>
      <c r="L6" s="41">
        <v>2014</v>
      </c>
      <c r="M6" s="42"/>
      <c r="N6" s="41">
        <v>2015</v>
      </c>
      <c r="O6" s="42"/>
      <c r="P6" s="42">
        <v>2016</v>
      </c>
      <c r="Q6" s="43"/>
      <c r="R6" s="42">
        <v>2017</v>
      </c>
      <c r="S6" s="43"/>
      <c r="T6" s="42">
        <v>2018</v>
      </c>
      <c r="U6" s="43"/>
      <c r="V6" s="308">
        <f>T6+1</f>
        <v>2019</v>
      </c>
      <c r="W6" s="43"/>
      <c r="X6" s="308">
        <f>V6+1</f>
        <v>2020</v>
      </c>
      <c r="Y6" s="43"/>
      <c r="Z6" s="308">
        <f>X6+1</f>
        <v>2021</v>
      </c>
      <c r="AA6" s="308">
        <f t="shared" si="0"/>
        <v>2022</v>
      </c>
      <c r="AB6" s="308">
        <f t="shared" si="0"/>
        <v>2023</v>
      </c>
    </row>
    <row r="7" spans="1:31" x14ac:dyDescent="0.3">
      <c r="A7" s="44" t="s">
        <v>6</v>
      </c>
      <c r="C7" s="45">
        <v>2010</v>
      </c>
      <c r="E7" s="45">
        <v>2011</v>
      </c>
      <c r="G7" s="45">
        <v>2012</v>
      </c>
      <c r="I7" s="45">
        <v>2013</v>
      </c>
      <c r="J7" s="46"/>
      <c r="K7" s="47"/>
      <c r="L7" s="45">
        <v>2014</v>
      </c>
      <c r="M7" s="46"/>
      <c r="N7" s="45">
        <v>2015</v>
      </c>
      <c r="O7" s="46"/>
      <c r="P7" s="46">
        <v>2016</v>
      </c>
      <c r="Q7" s="47"/>
      <c r="R7" s="46">
        <v>2017</v>
      </c>
      <c r="S7" s="47"/>
      <c r="T7" s="46">
        <v>2018</v>
      </c>
      <c r="U7" s="47"/>
      <c r="V7" s="309">
        <f>T7+1</f>
        <v>2019</v>
      </c>
      <c r="W7" s="47"/>
      <c r="X7" s="309">
        <f>V7+1</f>
        <v>2020</v>
      </c>
      <c r="Y7" s="47"/>
      <c r="Z7" s="309">
        <f>X7+1</f>
        <v>2021</v>
      </c>
      <c r="AA7" s="309">
        <f t="shared" si="0"/>
        <v>2022</v>
      </c>
      <c r="AB7" s="309">
        <f t="shared" si="0"/>
        <v>2023</v>
      </c>
    </row>
    <row r="8" spans="1:31" x14ac:dyDescent="0.3">
      <c r="A8" s="48" t="s">
        <v>147</v>
      </c>
      <c r="C8" s="38" t="s">
        <v>7</v>
      </c>
      <c r="E8" s="38" t="s">
        <v>8</v>
      </c>
      <c r="G8" s="38" t="s">
        <v>9</v>
      </c>
      <c r="I8" s="38" t="s">
        <v>10</v>
      </c>
      <c r="J8" s="39"/>
      <c r="K8" s="40"/>
      <c r="L8" s="38" t="s">
        <v>11</v>
      </c>
      <c r="M8" s="39"/>
      <c r="N8" s="49" t="s">
        <v>12</v>
      </c>
      <c r="O8" s="50"/>
      <c r="P8" s="50" t="s">
        <v>13</v>
      </c>
      <c r="Q8" s="51"/>
      <c r="R8" s="50" t="s">
        <v>14</v>
      </c>
      <c r="S8" s="51"/>
      <c r="T8" s="50" t="s">
        <v>15</v>
      </c>
      <c r="U8" s="51"/>
      <c r="V8" s="310" t="s">
        <v>16</v>
      </c>
      <c r="W8" s="51"/>
      <c r="X8" s="310" t="s">
        <v>17</v>
      </c>
      <c r="Y8" s="51"/>
      <c r="Z8" s="310" t="s">
        <v>18</v>
      </c>
      <c r="AA8" s="310" t="s">
        <v>144</v>
      </c>
      <c r="AB8" s="310" t="s">
        <v>152</v>
      </c>
    </row>
    <row r="9" spans="1:31" x14ac:dyDescent="0.3">
      <c r="A9" s="52"/>
      <c r="C9" s="53"/>
      <c r="E9" s="53"/>
      <c r="G9" s="53"/>
      <c r="I9" s="53"/>
      <c r="J9" s="54"/>
      <c r="K9" s="55"/>
      <c r="L9" s="53"/>
      <c r="M9" s="54"/>
      <c r="N9" s="53"/>
      <c r="O9" s="54"/>
      <c r="P9" s="54"/>
      <c r="Q9" s="55"/>
      <c r="R9" s="54"/>
      <c r="S9" s="55"/>
      <c r="T9" s="54"/>
      <c r="U9" s="55"/>
      <c r="V9" s="311"/>
      <c r="W9" s="55"/>
      <c r="X9" s="311"/>
      <c r="Y9" s="55"/>
      <c r="Z9" s="311"/>
      <c r="AA9" s="311"/>
      <c r="AB9" s="311"/>
    </row>
    <row r="10" spans="1:31" x14ac:dyDescent="0.3">
      <c r="A10" s="56"/>
      <c r="C10" s="57" t="s">
        <v>19</v>
      </c>
      <c r="E10" s="57" t="s">
        <v>20</v>
      </c>
      <c r="G10" s="57" t="s">
        <v>21</v>
      </c>
      <c r="I10" s="57" t="s">
        <v>22</v>
      </c>
      <c r="J10" s="58"/>
      <c r="K10" s="59"/>
      <c r="L10" s="57" t="s">
        <v>23</v>
      </c>
      <c r="M10" s="58"/>
      <c r="N10" s="57" t="s">
        <v>24</v>
      </c>
      <c r="O10" s="58"/>
      <c r="P10" s="120" t="s">
        <v>128</v>
      </c>
      <c r="Q10" s="59"/>
      <c r="R10" s="120" t="s">
        <v>131</v>
      </c>
      <c r="S10" s="59"/>
      <c r="T10" s="301" t="s">
        <v>25</v>
      </c>
      <c r="U10" s="59"/>
      <c r="V10" s="301" t="s">
        <v>26</v>
      </c>
      <c r="W10" s="59"/>
      <c r="X10" s="301" t="s">
        <v>27</v>
      </c>
      <c r="Y10" s="59"/>
      <c r="Z10" s="301" t="s">
        <v>28</v>
      </c>
      <c r="AA10" s="301" t="s">
        <v>135</v>
      </c>
      <c r="AB10" s="301" t="s">
        <v>153</v>
      </c>
    </row>
    <row r="11" spans="1:31" x14ac:dyDescent="0.3">
      <c r="A11" s="60" t="s">
        <v>29</v>
      </c>
      <c r="C11" s="41"/>
      <c r="E11" s="61"/>
      <c r="G11" s="62"/>
      <c r="I11" s="62"/>
      <c r="J11" s="63"/>
      <c r="K11" s="64"/>
      <c r="L11" s="61"/>
      <c r="M11" s="65"/>
      <c r="N11" s="41"/>
      <c r="O11" s="42"/>
      <c r="P11" s="42"/>
      <c r="Q11" s="43"/>
      <c r="R11" s="42"/>
      <c r="S11" s="43"/>
      <c r="T11" s="42"/>
      <c r="U11" s="43"/>
      <c r="V11" s="308"/>
      <c r="W11" s="43"/>
      <c r="X11" s="308"/>
      <c r="Y11" s="43"/>
      <c r="Z11" s="308"/>
      <c r="AA11" s="308"/>
      <c r="AB11" s="308"/>
    </row>
    <row r="12" spans="1:31" x14ac:dyDescent="0.3">
      <c r="A12" s="56"/>
      <c r="C12" s="66"/>
      <c r="E12" s="66"/>
      <c r="G12" s="45"/>
      <c r="I12" s="45"/>
      <c r="J12" s="46"/>
      <c r="K12" s="67"/>
      <c r="L12" s="66"/>
      <c r="M12" s="68"/>
      <c r="N12" s="45"/>
      <c r="O12" s="46"/>
      <c r="P12" s="68"/>
      <c r="Q12" s="47"/>
      <c r="R12" s="68"/>
      <c r="S12" s="47"/>
      <c r="T12" s="68"/>
      <c r="U12" s="47"/>
      <c r="V12" s="312"/>
      <c r="W12" s="47"/>
      <c r="X12" s="312"/>
      <c r="Y12" s="47"/>
      <c r="Z12" s="312"/>
      <c r="AA12" s="312"/>
      <c r="AB12" s="312"/>
    </row>
    <row r="13" spans="1:31" x14ac:dyDescent="0.3">
      <c r="A13" s="56" t="s">
        <v>118</v>
      </c>
      <c r="C13" s="69">
        <v>1400000</v>
      </c>
      <c r="E13" s="69">
        <v>1600000</v>
      </c>
      <c r="G13" s="69">
        <v>1700000</v>
      </c>
      <c r="I13" s="69">
        <v>1800000</v>
      </c>
      <c r="J13" s="70"/>
      <c r="K13" s="71"/>
      <c r="L13" s="69">
        <v>2000000</v>
      </c>
      <c r="M13" s="72"/>
      <c r="N13" s="69">
        <v>2275000</v>
      </c>
      <c r="O13" s="70"/>
      <c r="P13" s="70">
        <v>2200000</v>
      </c>
      <c r="Q13" s="73"/>
      <c r="R13" s="70">
        <v>2300000</v>
      </c>
      <c r="S13" s="73"/>
      <c r="T13" s="70">
        <v>2300000</v>
      </c>
      <c r="U13" s="73"/>
      <c r="V13" s="313">
        <f>SUM(T13:T19)</f>
        <v>2300000</v>
      </c>
      <c r="W13" s="73"/>
      <c r="X13" s="313">
        <f>SUM(V13:V19)</f>
        <v>2502110</v>
      </c>
      <c r="Y13" s="73"/>
      <c r="Z13" s="313">
        <f t="shared" ref="Z13" si="1">SUM(X13:X19)</f>
        <v>2691211</v>
      </c>
      <c r="AA13" s="313">
        <f>SUM(Z13:Z19)</f>
        <v>2877090</v>
      </c>
      <c r="AB13" s="313">
        <f>SUM(AA13:AA19)</f>
        <v>3098242</v>
      </c>
    </row>
    <row r="14" spans="1:31" x14ac:dyDescent="0.3">
      <c r="A14" s="56" t="s">
        <v>31</v>
      </c>
      <c r="C14" s="74"/>
      <c r="E14" s="75"/>
      <c r="G14" s="69"/>
      <c r="I14" s="69"/>
      <c r="J14" s="70"/>
      <c r="K14" s="71"/>
      <c r="L14" s="74"/>
      <c r="M14" s="72"/>
      <c r="N14" s="69"/>
      <c r="O14" s="70"/>
      <c r="P14" s="153"/>
      <c r="Q14" s="73"/>
      <c r="R14" s="153"/>
      <c r="S14" s="73"/>
      <c r="T14" s="153"/>
      <c r="U14" s="73"/>
      <c r="V14" s="313"/>
      <c r="W14" s="73"/>
      <c r="X14" s="313"/>
      <c r="Y14" s="73"/>
      <c r="Z14" s="313"/>
      <c r="AA14" s="313"/>
      <c r="AB14" s="313"/>
    </row>
    <row r="15" spans="1:31" x14ac:dyDescent="0.3">
      <c r="A15" s="76" t="s">
        <v>32</v>
      </c>
      <c r="C15" s="69"/>
      <c r="E15" s="75"/>
      <c r="G15" s="69"/>
      <c r="I15" s="75"/>
      <c r="J15" s="72"/>
      <c r="K15" s="71"/>
      <c r="L15" s="74"/>
      <c r="M15" s="72"/>
      <c r="N15" s="69"/>
      <c r="O15" s="70"/>
      <c r="P15" s="153"/>
      <c r="Q15" s="73"/>
      <c r="R15" s="153"/>
      <c r="S15" s="73"/>
      <c r="T15" s="153"/>
      <c r="U15" s="73"/>
      <c r="V15" s="77">
        <v>340135</v>
      </c>
      <c r="W15" s="73"/>
      <c r="X15" s="77">
        <v>316035</v>
      </c>
      <c r="Y15" s="73"/>
      <c r="Z15" s="77">
        <v>305926</v>
      </c>
      <c r="AA15" s="77">
        <v>352619</v>
      </c>
      <c r="AB15" s="77">
        <f>AA15</f>
        <v>352619</v>
      </c>
    </row>
    <row r="16" spans="1:31" x14ac:dyDescent="0.3">
      <c r="A16" s="76" t="s">
        <v>33</v>
      </c>
      <c r="C16" s="69"/>
      <c r="E16" s="75"/>
      <c r="G16" s="69"/>
      <c r="I16" s="75"/>
      <c r="J16" s="72"/>
      <c r="K16" s="71"/>
      <c r="L16" s="74"/>
      <c r="M16" s="72"/>
      <c r="N16" s="69"/>
      <c r="O16" s="70"/>
      <c r="P16" s="153"/>
      <c r="Q16" s="73"/>
      <c r="R16" s="153"/>
      <c r="S16" s="73"/>
      <c r="T16" s="153"/>
      <c r="U16" s="73"/>
      <c r="V16" s="77">
        <v>-23668</v>
      </c>
      <c r="W16" s="73"/>
      <c r="X16" s="77">
        <v>-12577</v>
      </c>
      <c r="Y16" s="73"/>
      <c r="Z16" s="77">
        <v>-5690</v>
      </c>
      <c r="AA16" s="77">
        <v>-17110</v>
      </c>
      <c r="AB16" s="77">
        <f>AA16</f>
        <v>-17110</v>
      </c>
    </row>
    <row r="17" spans="1:28" x14ac:dyDescent="0.3">
      <c r="A17" s="76" t="s">
        <v>34</v>
      </c>
      <c r="C17" s="69"/>
      <c r="E17" s="75"/>
      <c r="G17" s="69"/>
      <c r="I17" s="75"/>
      <c r="J17" s="72"/>
      <c r="K17" s="71"/>
      <c r="L17" s="74"/>
      <c r="M17" s="72"/>
      <c r="N17" s="69"/>
      <c r="O17" s="70"/>
      <c r="P17" s="153"/>
      <c r="Q17" s="73"/>
      <c r="R17" s="153"/>
      <c r="S17" s="73"/>
      <c r="T17" s="153"/>
      <c r="U17" s="73"/>
      <c r="V17" s="77"/>
      <c r="W17" s="73"/>
      <c r="X17" s="77"/>
      <c r="Y17" s="73"/>
      <c r="Z17" s="77"/>
      <c r="AA17" s="77"/>
      <c r="AB17" s="77"/>
    </row>
    <row r="18" spans="1:28" x14ac:dyDescent="0.3">
      <c r="A18" s="76" t="s">
        <v>35</v>
      </c>
      <c r="C18" s="69"/>
      <c r="E18" s="75"/>
      <c r="G18" s="69"/>
      <c r="I18" s="75"/>
      <c r="J18" s="72"/>
      <c r="K18" s="71"/>
      <c r="L18" s="74"/>
      <c r="M18" s="72"/>
      <c r="N18" s="69"/>
      <c r="O18" s="70"/>
      <c r="P18" s="153"/>
      <c r="Q18" s="73"/>
      <c r="R18" s="153"/>
      <c r="S18" s="73"/>
      <c r="T18" s="153"/>
      <c r="U18" s="73"/>
      <c r="V18" s="77">
        <f>-2695-5005</f>
        <v>-7700</v>
      </c>
      <c r="W18" s="73"/>
      <c r="X18" s="77">
        <f>V18</f>
        <v>-7700</v>
      </c>
      <c r="Y18" s="73"/>
      <c r="Z18" s="77">
        <f>X18</f>
        <v>-7700</v>
      </c>
      <c r="AA18" s="77">
        <f>Z18</f>
        <v>-7700</v>
      </c>
      <c r="AB18" s="77">
        <f t="shared" ref="AB18:AB19" si="2">AA18</f>
        <v>-7700</v>
      </c>
    </row>
    <row r="19" spans="1:28" x14ac:dyDescent="0.3">
      <c r="A19" s="56" t="s">
        <v>36</v>
      </c>
      <c r="C19" s="78"/>
      <c r="E19" s="79"/>
      <c r="G19" s="78"/>
      <c r="I19" s="79"/>
      <c r="J19" s="80"/>
      <c r="K19" s="81"/>
      <c r="L19" s="82"/>
      <c r="M19" s="80"/>
      <c r="N19" s="78"/>
      <c r="O19" s="83"/>
      <c r="P19" s="155"/>
      <c r="Q19" s="84"/>
      <c r="R19" s="155"/>
      <c r="S19" s="84"/>
      <c r="T19" s="155"/>
      <c r="U19" s="84"/>
      <c r="V19" s="85">
        <v>-106657</v>
      </c>
      <c r="W19" s="84"/>
      <c r="X19" s="85">
        <f>V19</f>
        <v>-106657</v>
      </c>
      <c r="Y19" s="84"/>
      <c r="Z19" s="85">
        <f>X19</f>
        <v>-106657</v>
      </c>
      <c r="AA19" s="85">
        <f>Z19</f>
        <v>-106657</v>
      </c>
      <c r="AB19" s="85">
        <f t="shared" si="2"/>
        <v>-106657</v>
      </c>
    </row>
    <row r="20" spans="1:28" x14ac:dyDescent="0.3">
      <c r="A20" s="56" t="s">
        <v>122</v>
      </c>
      <c r="C20" s="86">
        <v>0.96753500000000003</v>
      </c>
      <c r="E20" s="86">
        <v>0.96154600000000001</v>
      </c>
      <c r="G20" s="86">
        <v>0.95345100000000005</v>
      </c>
      <c r="I20" s="86">
        <v>0.95927200000000001</v>
      </c>
      <c r="J20" s="87"/>
      <c r="K20" s="71"/>
      <c r="L20" s="88">
        <f>962461349/997330000</f>
        <v>0.96503800046123145</v>
      </c>
      <c r="M20" s="89"/>
      <c r="N20" s="86">
        <f>1154211.157/1180295.025</f>
        <v>0.97790055244874052</v>
      </c>
      <c r="O20" s="87"/>
      <c r="P20" s="87">
        <f>1162234.576/1188424.6</f>
        <v>0.97796240165341564</v>
      </c>
      <c r="Q20" s="73"/>
      <c r="R20" s="87">
        <f>1207497787/1239327400</f>
        <v>0.97431702631604855</v>
      </c>
      <c r="S20" s="73"/>
      <c r="T20" s="87">
        <f>1238307873/1275973300</f>
        <v>0.97048102260446989</v>
      </c>
      <c r="U20" s="73"/>
      <c r="V20" s="314">
        <f>SUM(T20)</f>
        <v>0.97048102260446989</v>
      </c>
      <c r="W20" s="73"/>
      <c r="X20" s="314">
        <f>SUM(V20)</f>
        <v>0.97048102260446989</v>
      </c>
      <c r="Y20" s="73"/>
      <c r="Z20" s="314">
        <f>SUM(X20)</f>
        <v>0.97048102260446989</v>
      </c>
      <c r="AA20" s="314">
        <f t="shared" ref="AA20:AA21" si="3">SUM(Z20)</f>
        <v>0.97048102260446989</v>
      </c>
      <c r="AB20" s="314">
        <f>SUM(AA20)</f>
        <v>0.97048102260446989</v>
      </c>
    </row>
    <row r="21" spans="1:28" x14ac:dyDescent="0.3">
      <c r="A21" s="56" t="s">
        <v>119</v>
      </c>
      <c r="C21" s="90">
        <v>0.45469100000000001</v>
      </c>
      <c r="E21" s="90">
        <v>0.464889</v>
      </c>
      <c r="G21" s="90">
        <v>0.46240399999999998</v>
      </c>
      <c r="I21" s="90">
        <v>0.47619</v>
      </c>
      <c r="J21" s="91"/>
      <c r="K21" s="92"/>
      <c r="L21" s="93">
        <f>997330000/2000000000</f>
        <v>0.49866500000000002</v>
      </c>
      <c r="M21" s="94"/>
      <c r="N21" s="90">
        <f>1180295.025/N13</f>
        <v>0.51881099999999991</v>
      </c>
      <c r="O21" s="91"/>
      <c r="P21" s="91">
        <f>1188424.6/P13</f>
        <v>0.54019300000000003</v>
      </c>
      <c r="Q21" s="84"/>
      <c r="R21" s="91">
        <f>1239327.4/R13</f>
        <v>0.53883799999999993</v>
      </c>
      <c r="S21" s="84"/>
      <c r="T21" s="91">
        <f>1275973300/2300000000</f>
        <v>0.55477100000000001</v>
      </c>
      <c r="U21" s="84"/>
      <c r="V21" s="315">
        <f>SUM(T21)</f>
        <v>0.55477100000000001</v>
      </c>
      <c r="W21" s="84"/>
      <c r="X21" s="315">
        <f>SUM(V21)</f>
        <v>0.55477100000000001</v>
      </c>
      <c r="Y21" s="84"/>
      <c r="Z21" s="315">
        <f>SUM(X21)</f>
        <v>0.55477100000000001</v>
      </c>
      <c r="AA21" s="315">
        <f t="shared" si="3"/>
        <v>0.55477100000000001</v>
      </c>
      <c r="AB21" s="315">
        <f>SUM(AA21)</f>
        <v>0.55477100000000001</v>
      </c>
    </row>
    <row r="22" spans="1:28" x14ac:dyDescent="0.3">
      <c r="A22" s="56" t="s">
        <v>39</v>
      </c>
      <c r="C22" s="69">
        <f>SUM(C13:C19)*C20*C21</f>
        <v>615901.239359</v>
      </c>
      <c r="E22" s="69">
        <f>SUM(E13:E19)*E20*E21</f>
        <v>715219.4534304</v>
      </c>
      <c r="G22" s="69">
        <f t="shared" ref="G22:I22" si="4">SUM(G13:G19)*G20*G21</f>
        <v>749495.24554680008</v>
      </c>
      <c r="I22" s="69">
        <f t="shared" si="4"/>
        <v>822232.32062400004</v>
      </c>
      <c r="J22" s="70"/>
      <c r="K22" s="71"/>
      <c r="L22" s="69">
        <f t="shared" ref="L22:N22" si="5">SUM(L13:L19)*L20*L21</f>
        <v>962461.34900000005</v>
      </c>
      <c r="M22" s="72"/>
      <c r="N22" s="69">
        <f t="shared" si="5"/>
        <v>1154211.1569999997</v>
      </c>
      <c r="O22" s="70"/>
      <c r="P22" s="70">
        <f t="shared" ref="P22:AA22" si="6">SUM(P13:P19)*P20*P21</f>
        <v>1162234.5759999999</v>
      </c>
      <c r="Q22" s="73"/>
      <c r="R22" s="70">
        <f t="shared" ref="R22" si="7">SUM(R13:R19)*R20*R21</f>
        <v>1207497.787</v>
      </c>
      <c r="S22" s="73"/>
      <c r="T22" s="70">
        <f>SUM(T13:T19)*T20*T21</f>
        <v>1238307.8730000001</v>
      </c>
      <c r="U22" s="73"/>
      <c r="V22" s="313">
        <f>SUM(V13:V19)*V20*V21</f>
        <v>1347122.8313530567</v>
      </c>
      <c r="W22" s="73"/>
      <c r="X22" s="313">
        <f t="shared" si="6"/>
        <v>1448933.8126974797</v>
      </c>
      <c r="Y22" s="73"/>
      <c r="Z22" s="313">
        <f t="shared" si="6"/>
        <v>1549010.0862302477</v>
      </c>
      <c r="AA22" s="313">
        <f t="shared" si="6"/>
        <v>1668077.1569822896</v>
      </c>
      <c r="AB22" s="313">
        <f>SUM(AB13:AB19)*AB20*AB21</f>
        <v>1787144.2277343313</v>
      </c>
    </row>
    <row r="23" spans="1:28" x14ac:dyDescent="0.3">
      <c r="A23" s="56" t="s">
        <v>40</v>
      </c>
      <c r="C23" s="78">
        <v>284</v>
      </c>
      <c r="E23" s="78">
        <v>284</v>
      </c>
      <c r="G23" s="78">
        <v>442</v>
      </c>
      <c r="I23" s="69"/>
      <c r="J23" s="70"/>
      <c r="K23" s="71"/>
      <c r="L23" s="69"/>
      <c r="M23" s="72"/>
      <c r="N23" s="69">
        <v>101.197</v>
      </c>
      <c r="O23" s="70"/>
      <c r="P23" s="70">
        <v>620</v>
      </c>
      <c r="Q23" s="73"/>
      <c r="R23" s="70">
        <v>492</v>
      </c>
      <c r="S23" s="73"/>
      <c r="T23" s="70">
        <v>349.452</v>
      </c>
      <c r="U23" s="73"/>
      <c r="V23" s="313"/>
      <c r="W23" s="73"/>
      <c r="X23" s="313"/>
      <c r="Y23" s="73"/>
      <c r="Z23" s="313"/>
      <c r="AA23" s="313"/>
      <c r="AB23" s="313"/>
    </row>
    <row r="24" spans="1:28" x14ac:dyDescent="0.3">
      <c r="A24" s="56" t="s">
        <v>41</v>
      </c>
      <c r="C24" s="69">
        <f>SUM(C22:C23)</f>
        <v>616185.239359</v>
      </c>
      <c r="E24" s="69">
        <f>SUM(E22:E23)</f>
        <v>715503.4534304</v>
      </c>
      <c r="G24" s="69">
        <f>SUM(G22:G23)</f>
        <v>749937.24554680008</v>
      </c>
      <c r="I24" s="69">
        <f t="shared" ref="I24" si="8">SUM(I22)</f>
        <v>822232.32062400004</v>
      </c>
      <c r="J24" s="70"/>
      <c r="K24" s="71"/>
      <c r="L24" s="69">
        <f t="shared" ref="L24" si="9">SUM(L22)</f>
        <v>962461.34900000005</v>
      </c>
      <c r="M24" s="72"/>
      <c r="N24" s="69">
        <f>SUM(N22:N23)</f>
        <v>1154312.3539999996</v>
      </c>
      <c r="O24" s="70"/>
      <c r="P24" s="70">
        <f>SUM(P22:P23)</f>
        <v>1162854.5759999999</v>
      </c>
      <c r="Q24" s="73"/>
      <c r="R24" s="70">
        <f>R22+R23</f>
        <v>1207989.787</v>
      </c>
      <c r="S24" s="73"/>
      <c r="T24" s="70">
        <f>T22+T23</f>
        <v>1238657.3250000002</v>
      </c>
      <c r="U24" s="73"/>
      <c r="V24" s="313">
        <f>SUM(V22)</f>
        <v>1347122.8313530567</v>
      </c>
      <c r="W24" s="73"/>
      <c r="X24" s="313">
        <f t="shared" ref="X24:Z24" si="10">SUM(X22)</f>
        <v>1448933.8126974797</v>
      </c>
      <c r="Y24" s="73"/>
      <c r="Z24" s="313">
        <f t="shared" si="10"/>
        <v>1549010.0862302477</v>
      </c>
      <c r="AA24" s="313">
        <f t="shared" ref="AA24" si="11">SUM(AA22)</f>
        <v>1668077.1569822896</v>
      </c>
      <c r="AB24" s="313">
        <f>SUM(AB22)</f>
        <v>1787144.2277343313</v>
      </c>
    </row>
    <row r="25" spans="1:28" x14ac:dyDescent="0.3">
      <c r="A25" s="56" t="s">
        <v>120</v>
      </c>
      <c r="C25" s="69"/>
      <c r="E25" s="69"/>
      <c r="G25" s="69"/>
      <c r="I25" s="69"/>
      <c r="J25" s="70"/>
      <c r="K25" s="71"/>
      <c r="L25" s="69"/>
      <c r="M25" s="72"/>
      <c r="N25" s="69"/>
      <c r="O25" s="70"/>
      <c r="P25" s="70">
        <v>1064023.335</v>
      </c>
      <c r="Q25" s="73"/>
      <c r="R25" s="70">
        <v>1117051.1471780001</v>
      </c>
      <c r="S25" s="73"/>
      <c r="T25" s="70"/>
      <c r="U25" s="73"/>
      <c r="V25" s="313"/>
      <c r="W25" s="73"/>
      <c r="X25" s="313"/>
      <c r="Y25" s="73"/>
      <c r="Z25" s="313"/>
      <c r="AA25" s="313"/>
      <c r="AB25" s="313"/>
    </row>
    <row r="26" spans="1:28" x14ac:dyDescent="0.3">
      <c r="A26" s="56" t="s">
        <v>121</v>
      </c>
      <c r="C26" s="95">
        <f>553299.594/616185</f>
        <v>0.89794395189756326</v>
      </c>
      <c r="E26" s="95">
        <f>SUM(E27/E24)</f>
        <v>0.9021516344963243</v>
      </c>
      <c r="G26" s="95">
        <f>681556573/749937000</f>
        <v>0.90881843808213225</v>
      </c>
      <c r="I26" s="96">
        <f>765508.488/822232</f>
        <v>0.93101276525360244</v>
      </c>
      <c r="J26" s="97"/>
      <c r="K26" s="81"/>
      <c r="L26" s="95">
        <f>898630/L24</f>
        <v>0.93367905208212154</v>
      </c>
      <c r="M26" s="98"/>
      <c r="N26" s="95">
        <f>1070854.593/N24</f>
        <v>0.92769915291056526</v>
      </c>
      <c r="O26" s="98"/>
      <c r="P26" s="292">
        <f>P25/P24</f>
        <v>0.91500980170713975</v>
      </c>
      <c r="Q26" s="71"/>
      <c r="R26" s="292">
        <f>R25/R24</f>
        <v>0.92471903256082744</v>
      </c>
      <c r="S26" s="71"/>
      <c r="T26" s="302">
        <f>R26</f>
        <v>0.92471903256082744</v>
      </c>
      <c r="U26" s="81"/>
      <c r="V26" s="316">
        <f>SUM(T26)</f>
        <v>0.92471903256082744</v>
      </c>
      <c r="W26" s="81"/>
      <c r="X26" s="316">
        <f>SUM(V26)</f>
        <v>0.92471903256082744</v>
      </c>
      <c r="Y26" s="81"/>
      <c r="Z26" s="316">
        <f>SUM(X26)</f>
        <v>0.92471903256082744</v>
      </c>
      <c r="AA26" s="316">
        <f t="shared" ref="AA26" si="12">SUM(Z26)</f>
        <v>0.92471903256082744</v>
      </c>
      <c r="AB26" s="316">
        <f>SUM(AA26)</f>
        <v>0.92471903256082744</v>
      </c>
    </row>
    <row r="27" spans="1:28" x14ac:dyDescent="0.3">
      <c r="A27" s="56" t="s">
        <v>123</v>
      </c>
      <c r="C27" s="69">
        <f>SUM(C24*C26)</f>
        <v>553299.80893096642</v>
      </c>
      <c r="E27" s="69">
        <v>645492.61</v>
      </c>
      <c r="G27" s="69">
        <f t="shared" ref="G27:I27" si="13">SUM(G24*G26)</f>
        <v>681556.79615745938</v>
      </c>
      <c r="I27" s="69">
        <f t="shared" si="13"/>
        <v>765508.78650503687</v>
      </c>
      <c r="J27" s="70"/>
      <c r="K27" s="71"/>
      <c r="L27" s="69">
        <f t="shared" ref="L27:AA27" si="14">SUM(L24*L26)</f>
        <v>898630</v>
      </c>
      <c r="M27" s="72"/>
      <c r="N27" s="69">
        <f t="shared" si="14"/>
        <v>1070854.5930000001</v>
      </c>
      <c r="O27" s="72"/>
      <c r="P27" s="70">
        <f>SUM(P24*P26)</f>
        <v>1064023.335</v>
      </c>
      <c r="R27" s="70">
        <f t="shared" ref="R27" si="15">SUM(R24*R26)</f>
        <v>1117051.1471780001</v>
      </c>
      <c r="T27" s="70">
        <f>SUM(T24*T26)</f>
        <v>1145410.0032483826</v>
      </c>
      <c r="U27" s="71"/>
      <c r="V27" s="313">
        <f>SUM(V24*V26)</f>
        <v>1245710.1213494013</v>
      </c>
      <c r="W27" s="71"/>
      <c r="X27" s="313">
        <f t="shared" si="14"/>
        <v>1339856.6735222847</v>
      </c>
      <c r="Y27" s="71"/>
      <c r="Z27" s="313">
        <f t="shared" si="14"/>
        <v>1432399.1083657986</v>
      </c>
      <c r="AA27" s="313">
        <f t="shared" si="14"/>
        <v>1542502.6948414783</v>
      </c>
      <c r="AB27" s="313">
        <f>SUM(AB24*AB26)</f>
        <v>1652606.2813171579</v>
      </c>
    </row>
    <row r="28" spans="1:28" x14ac:dyDescent="0.3">
      <c r="A28" s="56" t="s">
        <v>43</v>
      </c>
      <c r="C28" s="69">
        <v>0</v>
      </c>
      <c r="E28" s="69">
        <v>0</v>
      </c>
      <c r="G28" s="69">
        <v>0</v>
      </c>
      <c r="I28" s="69">
        <v>0</v>
      </c>
      <c r="J28" s="70"/>
      <c r="K28" s="71"/>
      <c r="L28" s="74">
        <v>0</v>
      </c>
      <c r="M28" s="72"/>
      <c r="N28" s="69">
        <v>0</v>
      </c>
      <c r="O28" s="72"/>
      <c r="P28" s="70">
        <v>0</v>
      </c>
      <c r="Q28" s="71"/>
      <c r="R28" s="70">
        <v>0</v>
      </c>
      <c r="S28" s="71"/>
      <c r="T28" s="70">
        <v>0</v>
      </c>
      <c r="U28" s="71"/>
      <c r="V28" s="313">
        <v>0</v>
      </c>
      <c r="W28" s="71"/>
      <c r="X28" s="313">
        <v>0</v>
      </c>
      <c r="Y28" s="71"/>
      <c r="Z28" s="313">
        <v>0</v>
      </c>
      <c r="AA28" s="313">
        <v>0</v>
      </c>
      <c r="AB28" s="313">
        <v>0</v>
      </c>
    </row>
    <row r="29" spans="1:28" x14ac:dyDescent="0.3">
      <c r="A29" s="56"/>
      <c r="C29" s="99">
        <f>SUM(C27:C28)</f>
        <v>553299.80893096642</v>
      </c>
      <c r="E29" s="99">
        <f>SUM(E27:E28)</f>
        <v>645492.61</v>
      </c>
      <c r="G29" s="99">
        <f t="shared" ref="G29:I29" si="16">SUM(G27:G28)</f>
        <v>681556.79615745938</v>
      </c>
      <c r="I29" s="99">
        <f t="shared" si="16"/>
        <v>765508.78650503687</v>
      </c>
      <c r="J29" s="100"/>
      <c r="K29" s="101"/>
      <c r="L29" s="99">
        <f t="shared" ref="L29:AA29" si="17">SUM(L27:L28)</f>
        <v>898630</v>
      </c>
      <c r="M29" s="102"/>
      <c r="N29" s="99">
        <f t="shared" si="17"/>
        <v>1070854.5930000001</v>
      </c>
      <c r="O29" s="102"/>
      <c r="P29" s="100">
        <f t="shared" si="17"/>
        <v>1064023.335</v>
      </c>
      <c r="Q29" s="101"/>
      <c r="R29" s="100">
        <f t="shared" ref="R29" si="18">SUM(R27:R28)</f>
        <v>1117051.1471780001</v>
      </c>
      <c r="S29" s="101"/>
      <c r="T29" s="100">
        <f>SUM(T27:T28)</f>
        <v>1145410.0032483826</v>
      </c>
      <c r="U29" s="101"/>
      <c r="V29" s="317">
        <f>SUM(V27:V28)</f>
        <v>1245710.1213494013</v>
      </c>
      <c r="W29" s="101"/>
      <c r="X29" s="317">
        <f t="shared" si="17"/>
        <v>1339856.6735222847</v>
      </c>
      <c r="Y29" s="101"/>
      <c r="Z29" s="317">
        <f t="shared" si="17"/>
        <v>1432399.1083657986</v>
      </c>
      <c r="AA29" s="317">
        <f t="shared" si="17"/>
        <v>1542502.6948414783</v>
      </c>
      <c r="AB29" s="317">
        <f>SUM(AB27:AB28)</f>
        <v>1652606.2813171579</v>
      </c>
    </row>
    <row r="30" spans="1:28" x14ac:dyDescent="0.3">
      <c r="A30" s="56" t="s">
        <v>124</v>
      </c>
      <c r="B30" s="103"/>
      <c r="C30" s="104">
        <v>1.2009000000000001E-2</v>
      </c>
      <c r="E30" s="104">
        <v>1.2201999999999999E-2</v>
      </c>
      <c r="G30" s="105">
        <v>1.2663000000000001E-2</v>
      </c>
      <c r="H30" s="106">
        <f>SUM(I30-G30)/G30</f>
        <v>-1.9799564229200275E-2</v>
      </c>
      <c r="I30" s="105">
        <f>+I32/I29</f>
        <v>1.2412278118165638E-2</v>
      </c>
      <c r="J30" s="107"/>
      <c r="K30" s="108">
        <f>SUM(L30-I30)/I30</f>
        <v>1.1914378047644822E-2</v>
      </c>
      <c r="L30" s="105">
        <f>SUM(L32/L29)</f>
        <v>1.2560162692097972E-2</v>
      </c>
      <c r="M30" s="106">
        <f>SUM((N30-L30)/L30)</f>
        <v>-3.3482431633753494E-2</v>
      </c>
      <c r="N30" s="105">
        <f>12999.77053/1070855</f>
        <v>1.2139617903450981E-2</v>
      </c>
      <c r="O30" s="106">
        <f>SUM((P30-N30)/N30)</f>
        <v>-1.8509541639643912E-2</v>
      </c>
      <c r="P30" s="293">
        <f>12677752/1064023335</f>
        <v>1.1914919140377688E-2</v>
      </c>
      <c r="Q30" s="294">
        <f>SUM((R30-P30)/P30)</f>
        <v>5.7933924652931769E-2</v>
      </c>
      <c r="R30" s="293">
        <f>14080649.98/1117051149</f>
        <v>1.2605197168102104E-2</v>
      </c>
      <c r="S30" s="305">
        <v>0.02</v>
      </c>
      <c r="T30" s="303">
        <f>SUM(R30*(1+S30))</f>
        <v>1.2857301111464147E-2</v>
      </c>
      <c r="U30" s="305">
        <v>0.01</v>
      </c>
      <c r="V30" s="318">
        <f>SUM(T30*(1+U30))</f>
        <v>1.2985874122578789E-2</v>
      </c>
      <c r="W30" s="305">
        <v>1.4999999999999999E-2</v>
      </c>
      <c r="X30" s="318">
        <f>SUM(V30*(1+W30))</f>
        <v>1.3180662234417469E-2</v>
      </c>
      <c r="Y30" s="305">
        <v>0.02</v>
      </c>
      <c r="Z30" s="318">
        <f>SUM(X30*(1+Y30))</f>
        <v>1.3444275479105818E-2</v>
      </c>
      <c r="AA30" s="318">
        <f>SUM(Z30*(1+Y30))</f>
        <v>1.3713160988687934E-2</v>
      </c>
      <c r="AB30" s="318">
        <f>SUM(AA30*(1+Y30))</f>
        <v>1.3987424208461692E-2</v>
      </c>
    </row>
    <row r="31" spans="1:28" x14ac:dyDescent="0.3">
      <c r="A31" s="56"/>
      <c r="C31" s="109"/>
      <c r="E31" s="110"/>
      <c r="G31" s="110"/>
      <c r="I31" s="110"/>
      <c r="J31" s="111"/>
      <c r="K31" s="71"/>
      <c r="L31" s="109"/>
      <c r="M31" s="111"/>
      <c r="N31" s="110"/>
      <c r="O31" s="111"/>
      <c r="P31" s="139"/>
      <c r="Q31" s="71"/>
      <c r="R31" s="139"/>
      <c r="S31" s="71"/>
      <c r="T31" s="139"/>
      <c r="U31" s="71"/>
      <c r="V31" s="319"/>
      <c r="W31" s="71"/>
      <c r="X31" s="319"/>
      <c r="Y31" s="71"/>
      <c r="Z31" s="319"/>
      <c r="AA31" s="319"/>
      <c r="AB31" s="319"/>
    </row>
    <row r="32" spans="1:28" ht="15" thickBot="1" x14ac:dyDescent="0.35">
      <c r="A32" s="56" t="s">
        <v>45</v>
      </c>
      <c r="C32" s="112">
        <f>SUM(C29*C30)</f>
        <v>6644.5774054519761</v>
      </c>
      <c r="E32" s="112">
        <f>SUM(E29*E30)</f>
        <v>7876.3008272199995</v>
      </c>
      <c r="G32" s="112">
        <f t="shared" ref="G32" si="19">SUM(G29*G30)</f>
        <v>8630.5537097419092</v>
      </c>
      <c r="I32" s="112">
        <v>9501.7079599999997</v>
      </c>
      <c r="J32" s="113"/>
      <c r="K32" s="114"/>
      <c r="L32" s="112">
        <v>11286.939</v>
      </c>
      <c r="M32" s="113"/>
      <c r="N32" s="112">
        <f t="shared" ref="N32:AA32" si="20">SUM(N29*N30)</f>
        <v>12999.765589175515</v>
      </c>
      <c r="O32" s="113"/>
      <c r="P32" s="141">
        <f t="shared" si="20"/>
        <v>12677.752</v>
      </c>
      <c r="Q32" s="114"/>
      <c r="R32" s="141">
        <f t="shared" ref="R32" si="21">SUM(R29*R30)</f>
        <v>14080.649957033333</v>
      </c>
      <c r="S32" s="114"/>
      <c r="T32" s="304">
        <f>SUM(T29*T30)</f>
        <v>14726.881307847581</v>
      </c>
      <c r="U32" s="114"/>
      <c r="V32" s="320">
        <f>SUM(V29*V30)</f>
        <v>16176.634829065673</v>
      </c>
      <c r="W32" s="114"/>
      <c r="X32" s="320">
        <f t="shared" si="20"/>
        <v>17660.198256227395</v>
      </c>
      <c r="Y32" s="114"/>
      <c r="Z32" s="320">
        <f t="shared" si="20"/>
        <v>19257.568208895344</v>
      </c>
      <c r="AA32" s="320">
        <f t="shared" si="20"/>
        <v>21152.58777984617</v>
      </c>
      <c r="AB32" s="320">
        <f>SUM(AB29*AB30)</f>
        <v>23115.70510635147</v>
      </c>
    </row>
    <row r="33" spans="1:28" ht="15" thickTop="1" x14ac:dyDescent="0.3">
      <c r="A33" s="56"/>
      <c r="C33" s="115"/>
      <c r="E33" s="116"/>
      <c r="F33" s="116"/>
      <c r="G33" s="116"/>
      <c r="I33" s="116"/>
      <c r="J33" s="116"/>
      <c r="K33" s="117"/>
      <c r="L33" s="118"/>
      <c r="M33" s="116"/>
      <c r="N33" s="116"/>
      <c r="O33" s="116"/>
      <c r="P33" s="116"/>
      <c r="Q33" s="117"/>
      <c r="R33" s="116"/>
      <c r="S33" s="117"/>
      <c r="T33" s="116"/>
      <c r="U33" s="117"/>
      <c r="V33" s="116"/>
      <c r="W33" s="117"/>
      <c r="X33" s="116"/>
      <c r="Y33" s="117"/>
      <c r="Z33" s="116"/>
      <c r="AA33" s="116"/>
      <c r="AB33" s="116"/>
    </row>
    <row r="34" spans="1:28" x14ac:dyDescent="0.3">
      <c r="A34" s="119"/>
      <c r="C34" s="57" t="s">
        <v>46</v>
      </c>
      <c r="E34" s="57" t="s">
        <v>20</v>
      </c>
      <c r="G34" s="57" t="s">
        <v>21</v>
      </c>
      <c r="I34" s="57" t="s">
        <v>47</v>
      </c>
      <c r="J34" s="120"/>
      <c r="K34" s="59"/>
      <c r="L34" s="57" t="s">
        <v>48</v>
      </c>
      <c r="M34" s="58"/>
      <c r="N34" s="57" t="s">
        <v>49</v>
      </c>
      <c r="O34" s="58"/>
      <c r="P34" s="120" t="s">
        <v>50</v>
      </c>
      <c r="Q34" s="59"/>
      <c r="R34" s="120" t="s">
        <v>131</v>
      </c>
      <c r="S34" s="59"/>
      <c r="T34" s="120" t="s">
        <v>148</v>
      </c>
      <c r="U34" s="59"/>
      <c r="V34" s="301" t="s">
        <v>26</v>
      </c>
      <c r="W34" s="59"/>
      <c r="X34" s="301" t="s">
        <v>27</v>
      </c>
      <c r="Y34" s="59"/>
      <c r="Z34" s="301" t="s">
        <v>28</v>
      </c>
      <c r="AA34" s="301" t="s">
        <v>135</v>
      </c>
      <c r="AB34" s="301" t="str">
        <f>$AB$10</f>
        <v>2023 Estimate</v>
      </c>
    </row>
    <row r="35" spans="1:28" x14ac:dyDescent="0.3">
      <c r="A35" s="121" t="s">
        <v>51</v>
      </c>
      <c r="C35" s="41"/>
      <c r="E35" s="61"/>
      <c r="G35" s="61"/>
      <c r="I35" s="62"/>
      <c r="J35" s="63"/>
      <c r="K35" s="64"/>
      <c r="L35" s="61"/>
      <c r="M35" s="65"/>
      <c r="N35" s="61"/>
      <c r="O35" s="65"/>
      <c r="P35" s="65"/>
      <c r="Q35" s="64"/>
      <c r="R35" s="65"/>
      <c r="S35" s="64"/>
      <c r="T35" s="65"/>
      <c r="U35" s="64"/>
      <c r="V35" s="321"/>
      <c r="W35" s="64"/>
      <c r="X35" s="321"/>
      <c r="Y35" s="64"/>
      <c r="Z35" s="321"/>
      <c r="AA35" s="321"/>
      <c r="AB35" s="321"/>
    </row>
    <row r="36" spans="1:28" x14ac:dyDescent="0.3">
      <c r="A36" s="119"/>
      <c r="C36" s="61"/>
      <c r="E36" s="61"/>
      <c r="G36" s="61"/>
      <c r="I36" s="62"/>
      <c r="J36" s="63"/>
      <c r="K36" s="64"/>
      <c r="L36" s="61"/>
      <c r="M36" s="65"/>
      <c r="N36" s="61"/>
      <c r="O36" s="65"/>
      <c r="P36" s="65"/>
      <c r="Q36" s="64"/>
      <c r="R36" s="65"/>
      <c r="S36" s="64"/>
      <c r="T36" s="65"/>
      <c r="U36" s="64"/>
      <c r="V36" s="321"/>
      <c r="W36" s="64"/>
      <c r="X36" s="321"/>
      <c r="Y36" s="64"/>
      <c r="Z36" s="321"/>
      <c r="AA36" s="321"/>
      <c r="AB36" s="321"/>
    </row>
    <row r="37" spans="1:28" x14ac:dyDescent="0.3">
      <c r="A37" s="119" t="s">
        <v>30</v>
      </c>
      <c r="C37" s="69">
        <v>1578492</v>
      </c>
      <c r="E37" s="69">
        <v>1699083.2690000001</v>
      </c>
      <c r="G37" s="69">
        <v>1795440.777</v>
      </c>
      <c r="I37" s="69">
        <v>1871167</v>
      </c>
      <c r="J37" s="70"/>
      <c r="K37" s="71"/>
      <c r="L37" s="69">
        <v>1892078.206</v>
      </c>
      <c r="M37" s="72"/>
      <c r="N37" s="69">
        <v>2018725.2420000001</v>
      </c>
      <c r="O37" s="70"/>
      <c r="P37" s="70">
        <v>2098023.2439999999</v>
      </c>
      <c r="Q37" s="73"/>
      <c r="R37" s="70">
        <v>2268109</v>
      </c>
      <c r="S37" s="73"/>
      <c r="T37" s="70">
        <v>2425722.202</v>
      </c>
      <c r="U37" s="73"/>
      <c r="V37" s="313">
        <f>SUM(T37:T42)</f>
        <v>2425722.202</v>
      </c>
      <c r="W37" s="73"/>
      <c r="X37" s="313">
        <f>SUM(V37:V42)</f>
        <v>2627832.202</v>
      </c>
      <c r="Y37" s="73"/>
      <c r="Z37" s="313">
        <f>SUM(X37:X42)</f>
        <v>2816933.202</v>
      </c>
      <c r="AA37" s="313">
        <f>SUM(Z37:Z42)</f>
        <v>3002812.202</v>
      </c>
      <c r="AB37" s="313">
        <f>SUM(AA37:AA42)</f>
        <v>3223964.202</v>
      </c>
    </row>
    <row r="38" spans="1:28" x14ac:dyDescent="0.3">
      <c r="A38" s="119" t="s">
        <v>31</v>
      </c>
      <c r="C38" s="69"/>
      <c r="E38" s="69"/>
      <c r="G38" s="69"/>
      <c r="I38" s="69"/>
      <c r="J38" s="70"/>
      <c r="K38" s="122"/>
      <c r="L38" s="123"/>
      <c r="M38" s="124"/>
      <c r="N38" s="69"/>
      <c r="O38" s="70"/>
      <c r="P38" s="124"/>
      <c r="Q38" s="73"/>
      <c r="R38" s="124"/>
      <c r="S38" s="73"/>
      <c r="T38" s="124"/>
      <c r="U38" s="73"/>
      <c r="V38" s="322"/>
      <c r="W38" s="73"/>
      <c r="X38" s="322"/>
      <c r="Y38" s="73"/>
      <c r="Z38" s="322"/>
      <c r="AA38" s="322"/>
      <c r="AB38" s="322"/>
    </row>
    <row r="39" spans="1:28" x14ac:dyDescent="0.3">
      <c r="A39" s="76" t="s">
        <v>32</v>
      </c>
      <c r="C39" s="69"/>
      <c r="E39" s="125"/>
      <c r="G39" s="74"/>
      <c r="I39" s="125"/>
      <c r="J39" s="126"/>
      <c r="K39" s="127"/>
      <c r="L39" s="125"/>
      <c r="M39" s="126"/>
      <c r="N39" s="69"/>
      <c r="O39" s="70"/>
      <c r="P39" s="153"/>
      <c r="Q39" s="73"/>
      <c r="R39" s="153"/>
      <c r="S39" s="73"/>
      <c r="T39" s="153"/>
      <c r="U39" s="73"/>
      <c r="V39" s="344">
        <f t="shared" ref="V39:AA40" si="22">SUM(V15)</f>
        <v>340135</v>
      </c>
      <c r="W39" s="73"/>
      <c r="X39" s="344">
        <f t="shared" si="22"/>
        <v>316035</v>
      </c>
      <c r="Y39" s="73"/>
      <c r="Z39" s="344">
        <f t="shared" si="22"/>
        <v>305926</v>
      </c>
      <c r="AA39" s="344">
        <f t="shared" si="22"/>
        <v>352619</v>
      </c>
      <c r="AB39" s="344">
        <f>SUM(AB15)</f>
        <v>352619</v>
      </c>
    </row>
    <row r="40" spans="1:28" x14ac:dyDescent="0.3">
      <c r="A40" s="76" t="s">
        <v>33</v>
      </c>
      <c r="C40" s="69"/>
      <c r="E40" s="125"/>
      <c r="G40" s="74"/>
      <c r="I40" s="125"/>
      <c r="J40" s="126"/>
      <c r="K40" s="127"/>
      <c r="L40" s="125"/>
      <c r="M40" s="126"/>
      <c r="N40" s="69"/>
      <c r="O40" s="70"/>
      <c r="P40" s="126"/>
      <c r="Q40" s="73"/>
      <c r="R40" s="126"/>
      <c r="S40" s="73"/>
      <c r="T40" s="126"/>
      <c r="U40" s="73"/>
      <c r="V40" s="344">
        <f t="shared" si="22"/>
        <v>-23668</v>
      </c>
      <c r="W40" s="73"/>
      <c r="X40" s="344">
        <f t="shared" si="22"/>
        <v>-12577</v>
      </c>
      <c r="Y40" s="73"/>
      <c r="Z40" s="344">
        <f t="shared" si="22"/>
        <v>-5690</v>
      </c>
      <c r="AA40" s="344">
        <f t="shared" si="22"/>
        <v>-17110</v>
      </c>
      <c r="AB40" s="344">
        <f>SUM(AB16)</f>
        <v>-17110</v>
      </c>
    </row>
    <row r="41" spans="1:28" x14ac:dyDescent="0.3">
      <c r="A41" s="76" t="s">
        <v>35</v>
      </c>
      <c r="C41" s="69"/>
      <c r="E41" s="125"/>
      <c r="G41" s="74"/>
      <c r="I41" s="125"/>
      <c r="J41" s="126"/>
      <c r="K41" s="127"/>
      <c r="L41" s="125"/>
      <c r="M41" s="126"/>
      <c r="N41" s="69"/>
      <c r="O41" s="70"/>
      <c r="P41" s="126"/>
      <c r="Q41" s="73"/>
      <c r="R41" s="126"/>
      <c r="S41" s="73"/>
      <c r="T41" s="126"/>
      <c r="U41" s="73"/>
      <c r="V41" s="344">
        <f t="shared" ref="V41:AA42" si="23">SUM(V18)</f>
        <v>-7700</v>
      </c>
      <c r="W41" s="73"/>
      <c r="X41" s="344">
        <f t="shared" si="23"/>
        <v>-7700</v>
      </c>
      <c r="Y41" s="73"/>
      <c r="Z41" s="344">
        <f t="shared" si="23"/>
        <v>-7700</v>
      </c>
      <c r="AA41" s="344">
        <f t="shared" si="23"/>
        <v>-7700</v>
      </c>
      <c r="AB41" s="344">
        <f>SUM(AB18)</f>
        <v>-7700</v>
      </c>
    </row>
    <row r="42" spans="1:28" x14ac:dyDescent="0.3">
      <c r="A42" s="56" t="s">
        <v>52</v>
      </c>
      <c r="C42" s="69"/>
      <c r="E42" s="125"/>
      <c r="G42" s="74"/>
      <c r="I42" s="125"/>
      <c r="J42" s="126"/>
      <c r="K42" s="127"/>
      <c r="L42" s="125"/>
      <c r="M42" s="126"/>
      <c r="N42" s="69"/>
      <c r="O42" s="70"/>
      <c r="P42" s="126"/>
      <c r="Q42" s="73"/>
      <c r="R42" s="126"/>
      <c r="S42" s="73"/>
      <c r="T42" s="126"/>
      <c r="U42" s="73"/>
      <c r="V42" s="344">
        <f t="shared" si="23"/>
        <v>-106657</v>
      </c>
      <c r="W42" s="73"/>
      <c r="X42" s="344">
        <f t="shared" si="23"/>
        <v>-106657</v>
      </c>
      <c r="Y42" s="73"/>
      <c r="Z42" s="344">
        <f t="shared" si="23"/>
        <v>-106657</v>
      </c>
      <c r="AA42" s="344">
        <f t="shared" si="23"/>
        <v>-106657</v>
      </c>
      <c r="AB42" s="344">
        <f>SUM(AB19)</f>
        <v>-106657</v>
      </c>
    </row>
    <row r="43" spans="1:28" x14ac:dyDescent="0.3">
      <c r="A43" s="119" t="s">
        <v>53</v>
      </c>
      <c r="C43" s="78"/>
      <c r="E43" s="79"/>
      <c r="G43" s="82"/>
      <c r="I43" s="79"/>
      <c r="J43" s="80"/>
      <c r="K43" s="81"/>
      <c r="L43" s="79"/>
      <c r="M43" s="80"/>
      <c r="N43" s="78"/>
      <c r="O43" s="83"/>
      <c r="P43" s="128" t="s">
        <v>54</v>
      </c>
      <c r="Q43" s="84"/>
      <c r="R43" s="83"/>
      <c r="S43" s="84"/>
      <c r="T43" s="83"/>
      <c r="U43" s="84"/>
      <c r="V43" s="323"/>
      <c r="W43" s="84"/>
      <c r="X43" s="323"/>
      <c r="Y43" s="84"/>
      <c r="Z43" s="323"/>
      <c r="AA43" s="323"/>
      <c r="AB43" s="323"/>
    </row>
    <row r="44" spans="1:28" x14ac:dyDescent="0.3">
      <c r="A44" s="119" t="s">
        <v>37</v>
      </c>
      <c r="C44" s="86">
        <v>1</v>
      </c>
      <c r="E44" s="86">
        <v>1</v>
      </c>
      <c r="G44" s="86">
        <v>1</v>
      </c>
      <c r="I44" s="86">
        <v>1</v>
      </c>
      <c r="J44" s="87"/>
      <c r="K44" s="71"/>
      <c r="L44" s="86">
        <v>1</v>
      </c>
      <c r="M44" s="89"/>
      <c r="N44" s="86">
        <v>1</v>
      </c>
      <c r="O44" s="87"/>
      <c r="P44" s="87">
        <v>1</v>
      </c>
      <c r="Q44" s="73"/>
      <c r="R44" s="87">
        <v>1</v>
      </c>
      <c r="S44" s="73"/>
      <c r="T44" s="87">
        <v>1</v>
      </c>
      <c r="U44" s="73"/>
      <c r="V44" s="314">
        <v>1</v>
      </c>
      <c r="W44" s="73"/>
      <c r="X44" s="314">
        <v>1</v>
      </c>
      <c r="Y44" s="73"/>
      <c r="Z44" s="314">
        <v>1</v>
      </c>
      <c r="AA44" s="314">
        <v>1</v>
      </c>
      <c r="AB44" s="314">
        <v>1</v>
      </c>
    </row>
    <row r="45" spans="1:28" x14ac:dyDescent="0.3">
      <c r="A45" s="119" t="s">
        <v>38</v>
      </c>
      <c r="C45" s="90">
        <v>0.25974900000000001</v>
      </c>
      <c r="E45" s="129">
        <v>0.24714743</v>
      </c>
      <c r="G45" s="93">
        <v>0.24893693</v>
      </c>
      <c r="I45" s="90">
        <f>478010267/1871166525</f>
        <v>0.2554611044038424</v>
      </c>
      <c r="J45" s="91"/>
      <c r="K45" s="92"/>
      <c r="L45" s="90">
        <f>479016601/1892078206</f>
        <v>0.25316955688247061</v>
      </c>
      <c r="M45" s="94"/>
      <c r="N45" s="90">
        <f>515171.974/2018725.242</f>
        <v>0.25519667723063028</v>
      </c>
      <c r="O45" s="91"/>
      <c r="P45" s="130">
        <f>514394.545/2098023.244</f>
        <v>0.24518057484400302</v>
      </c>
      <c r="Q45" s="84"/>
      <c r="R45" s="91">
        <v>0.24651799999999999</v>
      </c>
      <c r="S45" s="84"/>
      <c r="T45" s="91">
        <f>603049041/2425722202</f>
        <v>0.24860597825372915</v>
      </c>
      <c r="U45" s="84"/>
      <c r="V45" s="315">
        <f>SUM(T45)</f>
        <v>0.24860597825372915</v>
      </c>
      <c r="W45" s="84"/>
      <c r="X45" s="315">
        <f>SUM(V45)</f>
        <v>0.24860597825372915</v>
      </c>
      <c r="Y45" s="84"/>
      <c r="Z45" s="315">
        <f>SUM(X45)</f>
        <v>0.24860597825372915</v>
      </c>
      <c r="AA45" s="315">
        <f t="shared" ref="AA45" si="24">SUM(Z45)</f>
        <v>0.24860597825372915</v>
      </c>
      <c r="AB45" s="315">
        <f>SUM(AA45)</f>
        <v>0.24860597825372915</v>
      </c>
    </row>
    <row r="46" spans="1:28" x14ac:dyDescent="0.3">
      <c r="A46" s="119" t="s">
        <v>39</v>
      </c>
      <c r="C46" s="69">
        <f>SUM(C37:C42)*C44*C45</f>
        <v>410011.71850800002</v>
      </c>
      <c r="E46" s="69">
        <f>SUM(E37:E43)*E44*E45</f>
        <v>419924.06328934868</v>
      </c>
      <c r="G46" s="69">
        <f>SUM(G37:G43)*G44*G45</f>
        <v>446951.5150231946</v>
      </c>
      <c r="I46" s="69">
        <f>SUM(I37:I43)*I44*I45</f>
        <v>478010.38834402454</v>
      </c>
      <c r="J46" s="70"/>
      <c r="K46" s="71"/>
      <c r="L46" s="69">
        <f>SUM(L37:L43)*L44*L45</f>
        <v>479016.60099999997</v>
      </c>
      <c r="M46" s="72"/>
      <c r="N46" s="69">
        <f>SUM(N37:N43)*N44*N45</f>
        <v>515171.97399999999</v>
      </c>
      <c r="O46" s="70"/>
      <c r="P46" s="131">
        <f>SUM(P37:P43)*P44*P45</f>
        <v>514394.54499999998</v>
      </c>
      <c r="Q46" s="73"/>
      <c r="R46" s="70">
        <f>SUM(R37:R43)*R44*R45</f>
        <v>559129.69446199993</v>
      </c>
      <c r="S46" s="73"/>
      <c r="T46" s="70">
        <f>SUM(T37:T43)*T44*T45</f>
        <v>603049.04099999997</v>
      </c>
      <c r="U46" s="73"/>
      <c r="V46" s="313">
        <f>SUM(V37:V43)*V44*V45</f>
        <v>653294.7952648612</v>
      </c>
      <c r="W46" s="73"/>
      <c r="X46" s="313">
        <f>SUM(X37:X43)*X44*X45</f>
        <v>700306.43435861962</v>
      </c>
      <c r="Y46" s="73"/>
      <c r="Z46" s="313">
        <f>SUM(Z37:Z43)*Z44*Z45</f>
        <v>746517.06499044457</v>
      </c>
      <c r="AA46" s="313">
        <f>SUM(AA37:AA43)*AA44*AA45</f>
        <v>801496.77429321327</v>
      </c>
      <c r="AB46" s="313">
        <f>SUM(AB37:AB43)*AB44*AB45</f>
        <v>856476.48359598196</v>
      </c>
    </row>
    <row r="47" spans="1:28" x14ac:dyDescent="0.3">
      <c r="A47" s="119" t="s">
        <v>40</v>
      </c>
      <c r="C47" s="78">
        <f>(5887+8589+229+382)*-1</f>
        <v>-15087</v>
      </c>
      <c r="E47" s="78">
        <f>-3975.631-8936.384-222.924-283</f>
        <v>-13417.939</v>
      </c>
      <c r="G47" s="78">
        <f>-10488.681-9022.891-264.554-322.957</f>
        <v>-20099.082999999999</v>
      </c>
      <c r="I47" s="78">
        <f>-8904.767-211.228-231.129</f>
        <v>-9347.1239999999998</v>
      </c>
      <c r="J47" s="83"/>
      <c r="K47" s="81"/>
      <c r="L47" s="78">
        <f>-8573.011-238.474-810.181</f>
        <v>-9621.6660000000011</v>
      </c>
      <c r="M47" s="80"/>
      <c r="N47" s="78">
        <f>-8697.667-262.431-1000-301.639</f>
        <v>-10261.736999999999</v>
      </c>
      <c r="O47" s="83"/>
      <c r="P47" s="132">
        <f>-7890.157-307.219-1000-443.168</f>
        <v>-9640.5439999999999</v>
      </c>
      <c r="Q47" s="84"/>
      <c r="R47" s="83">
        <f>-9592-366</f>
        <v>-9958</v>
      </c>
      <c r="S47" s="84"/>
      <c r="T47" s="83">
        <f>-16983-10609-329-900-381-1</f>
        <v>-29203</v>
      </c>
      <c r="U47" s="84"/>
      <c r="V47" s="323">
        <f>SUM(T47)</f>
        <v>-29203</v>
      </c>
      <c r="W47" s="84"/>
      <c r="X47" s="323">
        <f>SUM(V47)</f>
        <v>-29203</v>
      </c>
      <c r="Y47" s="84"/>
      <c r="Z47" s="323">
        <f>SUM(X47)</f>
        <v>-29203</v>
      </c>
      <c r="AA47" s="323">
        <f t="shared" ref="AA47" si="25">SUM(Z47)</f>
        <v>-29203</v>
      </c>
      <c r="AB47" s="323">
        <f>SUM(AA47)</f>
        <v>-29203</v>
      </c>
    </row>
    <row r="48" spans="1:28" x14ac:dyDescent="0.3">
      <c r="A48" s="119" t="s">
        <v>41</v>
      </c>
      <c r="C48" s="69">
        <f>SUM(C46:C47)</f>
        <v>394924.71850800002</v>
      </c>
      <c r="E48" s="69">
        <f>SUM(E46:E47)</f>
        <v>406506.12428934866</v>
      </c>
      <c r="G48" s="69">
        <f>SUM(G46:G47)</f>
        <v>426852.43202319462</v>
      </c>
      <c r="I48" s="69">
        <f>SUM(I46:I47)</f>
        <v>468663.26434402453</v>
      </c>
      <c r="J48" s="70"/>
      <c r="K48" s="71"/>
      <c r="L48" s="69">
        <f t="shared" ref="L48:AA48" si="26">SUM(L46:L47)</f>
        <v>469394.93499999994</v>
      </c>
      <c r="M48" s="72"/>
      <c r="N48" s="69">
        <f t="shared" si="26"/>
        <v>504910.23699999996</v>
      </c>
      <c r="O48" s="70"/>
      <c r="P48" s="70">
        <f t="shared" si="26"/>
        <v>504754.00099999999</v>
      </c>
      <c r="Q48" s="73"/>
      <c r="R48" s="70">
        <f>SUM(R46:R47)</f>
        <v>549171.69446199993</v>
      </c>
      <c r="S48" s="73"/>
      <c r="T48" s="70">
        <f t="shared" si="26"/>
        <v>573846.04099999997</v>
      </c>
      <c r="U48" s="73"/>
      <c r="V48" s="313">
        <f>SUM(V46:V47)</f>
        <v>624091.7952648612</v>
      </c>
      <c r="W48" s="73"/>
      <c r="X48" s="313">
        <f t="shared" si="26"/>
        <v>671103.43435861962</v>
      </c>
      <c r="Y48" s="73"/>
      <c r="Z48" s="313">
        <f t="shared" si="26"/>
        <v>717314.06499044457</v>
      </c>
      <c r="AA48" s="313">
        <f t="shared" si="26"/>
        <v>772293.77429321327</v>
      </c>
      <c r="AB48" s="313">
        <f>SUM(AB46:AB47)</f>
        <v>827273.48359598196</v>
      </c>
    </row>
    <row r="49" spans="1:28" x14ac:dyDescent="0.3">
      <c r="A49" s="119" t="s">
        <v>55</v>
      </c>
      <c r="C49" s="133">
        <v>1</v>
      </c>
      <c r="E49" s="133">
        <v>1</v>
      </c>
      <c r="G49" s="133">
        <v>1</v>
      </c>
      <c r="I49" s="133">
        <v>1</v>
      </c>
      <c r="J49" s="134"/>
      <c r="K49" s="81"/>
      <c r="L49" s="133">
        <v>1</v>
      </c>
      <c r="M49" s="135"/>
      <c r="N49" s="133">
        <v>1</v>
      </c>
      <c r="O49" s="134"/>
      <c r="P49" s="134">
        <v>1</v>
      </c>
      <c r="Q49" s="84"/>
      <c r="R49" s="134">
        <v>1</v>
      </c>
      <c r="S49" s="84"/>
      <c r="T49" s="134">
        <v>1</v>
      </c>
      <c r="U49" s="84"/>
      <c r="V49" s="324">
        <v>1</v>
      </c>
      <c r="W49" s="84"/>
      <c r="X49" s="324">
        <v>1</v>
      </c>
      <c r="Y49" s="84"/>
      <c r="Z49" s="324">
        <v>1</v>
      </c>
      <c r="AA49" s="324">
        <v>1</v>
      </c>
      <c r="AB49" s="324">
        <v>1</v>
      </c>
    </row>
    <row r="50" spans="1:28" x14ac:dyDescent="0.3">
      <c r="A50" s="119" t="s">
        <v>42</v>
      </c>
      <c r="C50" s="69">
        <f>SUM(C48*C49)</f>
        <v>394924.71850800002</v>
      </c>
      <c r="E50" s="69">
        <f>SUM(E48*E49)</f>
        <v>406506.12428934866</v>
      </c>
      <c r="G50" s="69">
        <f t="shared" ref="G50:I50" si="27">SUM(G48*G49)</f>
        <v>426852.43202319462</v>
      </c>
      <c r="I50" s="69">
        <f t="shared" si="27"/>
        <v>468663.26434402453</v>
      </c>
      <c r="J50" s="70"/>
      <c r="K50" s="71"/>
      <c r="L50" s="69">
        <f t="shared" ref="L50:AA50" si="28">SUM(L48*L49)</f>
        <v>469394.93499999994</v>
      </c>
      <c r="M50" s="72"/>
      <c r="N50" s="69">
        <f t="shared" si="28"/>
        <v>504910.23699999996</v>
      </c>
      <c r="O50" s="70"/>
      <c r="P50" s="70">
        <f t="shared" si="28"/>
        <v>504754.00099999999</v>
      </c>
      <c r="Q50" s="73"/>
      <c r="R50" s="70">
        <f>SUM(R48*R49)</f>
        <v>549171.69446199993</v>
      </c>
      <c r="S50" s="73"/>
      <c r="T50" s="70">
        <f t="shared" si="28"/>
        <v>573846.04099999997</v>
      </c>
      <c r="U50" s="73"/>
      <c r="V50" s="313">
        <f>SUM(V48*V49)</f>
        <v>624091.7952648612</v>
      </c>
      <c r="W50" s="73"/>
      <c r="X50" s="313">
        <f t="shared" si="28"/>
        <v>671103.43435861962</v>
      </c>
      <c r="Y50" s="73"/>
      <c r="Z50" s="313">
        <f t="shared" si="28"/>
        <v>717314.06499044457</v>
      </c>
      <c r="AA50" s="313">
        <f t="shared" si="28"/>
        <v>772293.77429321327</v>
      </c>
      <c r="AB50" s="313">
        <f>SUM(AB48*AB49)</f>
        <v>827273.48359598196</v>
      </c>
    </row>
    <row r="51" spans="1:28" x14ac:dyDescent="0.3">
      <c r="A51" s="119" t="s">
        <v>44</v>
      </c>
      <c r="B51" s="108"/>
      <c r="C51" s="105">
        <f>3829943.98/394925312</f>
        <v>9.697894421110187E-3</v>
      </c>
      <c r="D51" s="136">
        <f>SUM(E51-C51)/E51</f>
        <v>9.0569557305089754E-2</v>
      </c>
      <c r="E51" s="105">
        <f>4334861/406506236</f>
        <v>1.06637011098644E-2</v>
      </c>
      <c r="F51" s="136">
        <f>SUM(G51-E51)/G51</f>
        <v>2.9513914282453545E-2</v>
      </c>
      <c r="G51" s="105">
        <v>1.0988E-2</v>
      </c>
      <c r="H51" s="108">
        <f>SUM(I51-G51)/G51</f>
        <v>4.0654360318626757E-2</v>
      </c>
      <c r="I51" s="105">
        <f>5359027.18/468663143</f>
        <v>1.143471011118107E-2</v>
      </c>
      <c r="J51" s="137"/>
      <c r="K51" s="108">
        <f>SUM(L51-I51)/I51</f>
        <v>1.3665332452170083E-2</v>
      </c>
      <c r="L51" s="105">
        <f>5440.743/469395</f>
        <v>1.159096922634455E-2</v>
      </c>
      <c r="M51" s="106">
        <f>SUM((N51-L51)/L51)</f>
        <v>-2.3012975508219759E-2</v>
      </c>
      <c r="N51" s="105">
        <f>5717.71522/504910</f>
        <v>1.1324226535422154E-2</v>
      </c>
      <c r="O51" s="138">
        <f>SUM(P53-N53)/N53</f>
        <v>-7.4419402637072741E-3</v>
      </c>
      <c r="P51" s="293">
        <f>5675.167/504754.002</f>
        <v>1.1243431409187718E-2</v>
      </c>
      <c r="Q51" s="294">
        <f>SUM((R51-P51)/P51)</f>
        <v>-6.845880646011303E-3</v>
      </c>
      <c r="R51" s="293">
        <f>6132.30388/R50</f>
        <v>1.1166460219708805E-2</v>
      </c>
      <c r="S51" s="294">
        <f>SUM((T51-R51)/R51)</f>
        <v>-3.2217407708011639E-2</v>
      </c>
      <c r="T51" s="293">
        <f>6201.38535/T50</f>
        <v>1.0806705818155153E-2</v>
      </c>
      <c r="U51" s="305">
        <f>$U$30</f>
        <v>0.01</v>
      </c>
      <c r="V51" s="318">
        <f>SUM(T51*(1+U51))</f>
        <v>1.0914772876336704E-2</v>
      </c>
      <c r="W51" s="305">
        <f>$W$30</f>
        <v>1.4999999999999999E-2</v>
      </c>
      <c r="X51" s="318">
        <f>SUM(V51*(1+W51))</f>
        <v>1.1078494469481753E-2</v>
      </c>
      <c r="Y51" s="305">
        <f>$Y$30</f>
        <v>0.02</v>
      </c>
      <c r="Z51" s="318">
        <f>SUM(X51*(1+Y51))</f>
        <v>1.1300064358871388E-2</v>
      </c>
      <c r="AA51" s="318">
        <f>SUM(Z51*(1+Y51))</f>
        <v>1.1526065646048815E-2</v>
      </c>
      <c r="AB51" s="318">
        <f>SUM(AA51*(1+Y51))</f>
        <v>1.1756586958969792E-2</v>
      </c>
    </row>
    <row r="52" spans="1:28" x14ac:dyDescent="0.3">
      <c r="A52" s="119"/>
      <c r="C52" s="109"/>
      <c r="E52" s="110"/>
      <c r="G52" s="110"/>
      <c r="I52" s="110"/>
      <c r="J52" s="139"/>
      <c r="K52" s="71"/>
      <c r="L52" s="110"/>
      <c r="M52" s="111"/>
      <c r="N52" s="110"/>
      <c r="O52" s="111"/>
      <c r="P52" s="139"/>
      <c r="Q52" s="71"/>
      <c r="R52" s="139"/>
      <c r="S52" s="71"/>
      <c r="T52" s="111"/>
      <c r="U52" s="71"/>
      <c r="V52" s="319"/>
      <c r="W52" s="71"/>
      <c r="X52" s="319"/>
      <c r="Y52" s="71"/>
      <c r="Z52" s="319"/>
      <c r="AA52" s="319"/>
      <c r="AB52" s="319"/>
    </row>
    <row r="53" spans="1:28" ht="15" thickBot="1" x14ac:dyDescent="0.35">
      <c r="A53" s="140" t="s">
        <v>45</v>
      </c>
      <c r="C53" s="112">
        <f>SUM(C50*C51)</f>
        <v>3829.9382243772443</v>
      </c>
      <c r="E53" s="112">
        <f>SUM(E50*E51)</f>
        <v>4334.8598087510027</v>
      </c>
      <c r="G53" s="112">
        <f t="shared" ref="G53:I53" si="29">SUM(G50*G51)</f>
        <v>4690.254523070862</v>
      </c>
      <c r="I53" s="112">
        <f t="shared" si="29"/>
        <v>5359.0285675337436</v>
      </c>
      <c r="J53" s="141"/>
      <c r="K53" s="114"/>
      <c r="L53" s="112">
        <f t="shared" ref="L53:AA53" si="30">SUM(L50*L51)</f>
        <v>5440.7422465869995</v>
      </c>
      <c r="M53" s="113"/>
      <c r="N53" s="112">
        <f t="shared" si="30"/>
        <v>5717.717903841688</v>
      </c>
      <c r="O53" s="113"/>
      <c r="P53" s="141">
        <f t="shared" si="30"/>
        <v>5675.1669887565686</v>
      </c>
      <c r="Q53" s="114"/>
      <c r="R53" s="141">
        <f>SUM(R50*R51)</f>
        <v>6132.3038800000004</v>
      </c>
      <c r="S53" s="114"/>
      <c r="T53" s="141">
        <f>SUM(T50*T51)</f>
        <v>6201.3853499999996</v>
      </c>
      <c r="U53" s="114"/>
      <c r="V53" s="320">
        <f>SUM(V50*V51)</f>
        <v>6811.8201993011862</v>
      </c>
      <c r="W53" s="114"/>
      <c r="X53" s="320">
        <f>SUM(X50*X51)</f>
        <v>7434.8156859921783</v>
      </c>
      <c r="Y53" s="114"/>
      <c r="Z53" s="320">
        <f t="shared" si="30"/>
        <v>8105.695099915677</v>
      </c>
      <c r="AA53" s="320">
        <f t="shared" si="30"/>
        <v>8901.5087405383838</v>
      </c>
      <c r="AB53" s="320">
        <f>SUM(AB50*AB51)</f>
        <v>9725.9126487460308</v>
      </c>
    </row>
    <row r="54" spans="1:28" ht="15" thickTop="1" x14ac:dyDescent="0.3">
      <c r="A54" s="142"/>
      <c r="C54" s="143"/>
      <c r="E54" s="144"/>
      <c r="F54" s="144"/>
      <c r="G54" s="144"/>
      <c r="I54" s="144"/>
      <c r="J54" s="144"/>
      <c r="K54" s="145"/>
      <c r="L54" s="146"/>
      <c r="M54" s="144"/>
      <c r="N54" s="144"/>
      <c r="O54" s="144"/>
      <c r="P54" s="144"/>
      <c r="Q54" s="145"/>
      <c r="R54" s="144"/>
      <c r="S54" s="145"/>
      <c r="T54" s="144"/>
      <c r="U54" s="145"/>
      <c r="V54" s="144"/>
      <c r="W54" s="145"/>
      <c r="X54" s="144"/>
      <c r="Y54" s="145"/>
      <c r="Z54" s="144"/>
      <c r="AA54" s="144"/>
      <c r="AB54" s="144"/>
    </row>
    <row r="55" spans="1:28" x14ac:dyDescent="0.3">
      <c r="A55" s="56"/>
      <c r="C55" s="57" t="s">
        <v>46</v>
      </c>
      <c r="E55" s="57" t="s">
        <v>20</v>
      </c>
      <c r="G55" s="57" t="s">
        <v>21</v>
      </c>
      <c r="I55" s="57" t="s">
        <v>47</v>
      </c>
      <c r="J55" s="120"/>
      <c r="K55" s="59"/>
      <c r="L55" s="57" t="s">
        <v>48</v>
      </c>
      <c r="M55" s="58"/>
      <c r="N55" s="57" t="s">
        <v>49</v>
      </c>
      <c r="O55" s="58"/>
      <c r="P55" s="120" t="s">
        <v>50</v>
      </c>
      <c r="Q55" s="59"/>
      <c r="R55" s="120" t="s">
        <v>131</v>
      </c>
      <c r="S55" s="59"/>
      <c r="T55" s="120" t="s">
        <v>149</v>
      </c>
      <c r="U55" s="59"/>
      <c r="V55" s="301" t="s">
        <v>26</v>
      </c>
      <c r="W55" s="59"/>
      <c r="X55" s="301" t="s">
        <v>27</v>
      </c>
      <c r="Y55" s="59"/>
      <c r="Z55" s="301" t="s">
        <v>28</v>
      </c>
      <c r="AA55" s="301" t="s">
        <v>135</v>
      </c>
      <c r="AB55" s="301" t="str">
        <f>$AB$10</f>
        <v>2023 Estimate</v>
      </c>
    </row>
    <row r="56" spans="1:28" x14ac:dyDescent="0.3">
      <c r="A56" s="60" t="s">
        <v>56</v>
      </c>
      <c r="C56" s="45" t="s">
        <v>57</v>
      </c>
      <c r="E56" s="45" t="s">
        <v>57</v>
      </c>
      <c r="G56" s="45" t="s">
        <v>57</v>
      </c>
      <c r="I56" s="41" t="s">
        <v>57</v>
      </c>
      <c r="J56" s="42"/>
      <c r="K56" s="67"/>
      <c r="L56" s="41" t="s">
        <v>57</v>
      </c>
      <c r="M56" s="68"/>
      <c r="N56" s="41" t="s">
        <v>57</v>
      </c>
      <c r="O56" s="42"/>
      <c r="P56" s="42" t="s">
        <v>57</v>
      </c>
      <c r="Q56" s="43"/>
      <c r="R56" s="42" t="s">
        <v>57</v>
      </c>
      <c r="S56" s="43"/>
      <c r="T56" s="42" t="s">
        <v>57</v>
      </c>
      <c r="U56" s="43"/>
      <c r="V56" s="312" t="s">
        <v>57</v>
      </c>
      <c r="W56" s="43"/>
      <c r="X56" s="312" t="s">
        <v>57</v>
      </c>
      <c r="Y56" s="43"/>
      <c r="Z56" s="312" t="s">
        <v>57</v>
      </c>
      <c r="AA56" s="312" t="s">
        <v>57</v>
      </c>
      <c r="AB56" s="312" t="s">
        <v>57</v>
      </c>
    </row>
    <row r="57" spans="1:28" x14ac:dyDescent="0.3">
      <c r="A57" s="147" t="s">
        <v>127</v>
      </c>
      <c r="C57" s="148">
        <v>2200000</v>
      </c>
      <c r="D57" s="142"/>
      <c r="E57" s="148">
        <v>2320000</v>
      </c>
      <c r="G57" s="148">
        <v>2600000</v>
      </c>
      <c r="I57" s="148">
        <v>2700000</v>
      </c>
      <c r="J57" s="149"/>
      <c r="K57" s="150"/>
      <c r="L57" s="148">
        <v>2973000</v>
      </c>
      <c r="M57" s="151"/>
      <c r="N57" s="148">
        <v>3318000</v>
      </c>
      <c r="O57" s="149"/>
      <c r="P57" s="149">
        <v>3431000</v>
      </c>
      <c r="Q57" s="152"/>
      <c r="R57" s="149">
        <v>3761000</v>
      </c>
      <c r="S57" s="152"/>
      <c r="T57" s="149">
        <v>4198000</v>
      </c>
      <c r="U57" s="152"/>
      <c r="V57" s="325">
        <f>T57</f>
        <v>4198000</v>
      </c>
      <c r="W57" s="152"/>
      <c r="X57" s="325">
        <f>SUM(V57:V60)</f>
        <v>4469918</v>
      </c>
      <c r="Y57" s="152"/>
      <c r="Z57" s="325">
        <f>SUM(X57:X60)</f>
        <v>4726910</v>
      </c>
      <c r="AA57" s="325">
        <f>SUM(Z57:Z60)</f>
        <v>4964930</v>
      </c>
      <c r="AB57" s="325">
        <f>SUM(AA57:AA60)</f>
        <v>5249985</v>
      </c>
    </row>
    <row r="58" spans="1:28" x14ac:dyDescent="0.3">
      <c r="A58" s="56" t="s">
        <v>139</v>
      </c>
      <c r="C58" s="69">
        <v>1980000</v>
      </c>
      <c r="E58" s="69">
        <v>2088000</v>
      </c>
      <c r="G58" s="69">
        <v>2340000</v>
      </c>
      <c r="I58" s="69">
        <v>2430000</v>
      </c>
      <c r="J58" s="70"/>
      <c r="K58" s="71"/>
      <c r="L58" s="69">
        <v>2676000</v>
      </c>
      <c r="M58" s="72"/>
      <c r="N58" s="69">
        <v>2987000</v>
      </c>
      <c r="O58" s="70"/>
      <c r="P58" s="70">
        <v>3088000</v>
      </c>
      <c r="Q58" s="73"/>
      <c r="R58" s="70">
        <v>3385000</v>
      </c>
      <c r="S58" s="73"/>
      <c r="T58" s="70">
        <v>3778000</v>
      </c>
      <c r="U58" s="73"/>
      <c r="V58" s="313"/>
      <c r="W58" s="73"/>
      <c r="X58" s="313"/>
      <c r="Y58" s="73"/>
      <c r="Z58" s="313"/>
      <c r="AA58" s="313"/>
      <c r="AB58" s="313"/>
    </row>
    <row r="59" spans="1:28" x14ac:dyDescent="0.3">
      <c r="A59" s="56" t="s">
        <v>58</v>
      </c>
      <c r="C59" s="69"/>
      <c r="E59" s="123"/>
      <c r="G59" s="74"/>
      <c r="I59" s="69"/>
      <c r="J59" s="70"/>
      <c r="K59" s="122"/>
      <c r="L59" s="69"/>
      <c r="M59" s="124"/>
      <c r="N59" s="69"/>
      <c r="O59" s="70"/>
      <c r="P59" s="70"/>
      <c r="Q59" s="73"/>
      <c r="R59" s="70"/>
      <c r="S59" s="73"/>
      <c r="T59" s="70"/>
      <c r="U59" s="73"/>
      <c r="V59" s="322">
        <f>SUM(V15+V118)</f>
        <v>409152</v>
      </c>
      <c r="W59" s="73"/>
      <c r="X59" s="322">
        <f>SUM(X15+X118)</f>
        <v>394226</v>
      </c>
      <c r="Y59" s="73"/>
      <c r="Z59" s="322">
        <f>SUM(Z15+Z118)</f>
        <v>375254</v>
      </c>
      <c r="AA59" s="322">
        <f>SUM(AA15+AA118)</f>
        <v>422289</v>
      </c>
      <c r="AB59" s="322">
        <f>SUM(AB15+AB118)</f>
        <v>422289</v>
      </c>
    </row>
    <row r="60" spans="1:28" x14ac:dyDescent="0.3">
      <c r="A60" s="56" t="s">
        <v>52</v>
      </c>
      <c r="C60" s="69"/>
      <c r="E60" s="75"/>
      <c r="G60" s="74"/>
      <c r="I60" s="74"/>
      <c r="J60" s="153"/>
      <c r="K60" s="71"/>
      <c r="L60" s="69"/>
      <c r="M60" s="72"/>
      <c r="N60" s="69"/>
      <c r="O60" s="70"/>
      <c r="P60" s="70"/>
      <c r="Q60" s="73"/>
      <c r="R60" s="70">
        <f>SUM(R19+R119)</f>
        <v>0</v>
      </c>
      <c r="S60" s="73"/>
      <c r="T60" s="70">
        <f>SUM(T19+T119)</f>
        <v>0</v>
      </c>
      <c r="U60" s="73"/>
      <c r="V60" s="313">
        <f>SUM(V19+V119)</f>
        <v>-137234</v>
      </c>
      <c r="W60" s="73"/>
      <c r="X60" s="313">
        <f>SUM(X19+X119)</f>
        <v>-137234</v>
      </c>
      <c r="Y60" s="73"/>
      <c r="Z60" s="313">
        <f>SUM(Z19+Z119)</f>
        <v>-137234</v>
      </c>
      <c r="AA60" s="313">
        <f>SUM(AA19+AA119)</f>
        <v>-137234</v>
      </c>
      <c r="AB60" s="313">
        <f>SUM(AB19+AB119)</f>
        <v>-137234</v>
      </c>
    </row>
    <row r="61" spans="1:28" x14ac:dyDescent="0.3">
      <c r="A61" s="56" t="s">
        <v>59</v>
      </c>
      <c r="C61" s="78"/>
      <c r="E61" s="79"/>
      <c r="G61" s="82"/>
      <c r="I61" s="82"/>
      <c r="J61" s="155"/>
      <c r="K61" s="81"/>
      <c r="L61" s="78"/>
      <c r="M61" s="80"/>
      <c r="N61" s="78"/>
      <c r="O61" s="83"/>
      <c r="P61" s="128" t="s">
        <v>54</v>
      </c>
      <c r="Q61" s="84"/>
      <c r="R61" s="70"/>
      <c r="S61" s="84"/>
      <c r="T61" s="70"/>
      <c r="U61" s="84"/>
      <c r="V61" s="323">
        <f>SUM(V57:V60)*0.1*-1</f>
        <v>-446991.80000000005</v>
      </c>
      <c r="W61" s="84"/>
      <c r="X61" s="323">
        <f>SUM(X57:X60)*0.1*-1</f>
        <v>-472691</v>
      </c>
      <c r="Y61" s="84"/>
      <c r="Z61" s="323">
        <f>SUM(Z57:Z60)*0.1*-1</f>
        <v>-496493</v>
      </c>
      <c r="AA61" s="323">
        <f>SUM(AA57:AA60)*0.1*-1</f>
        <v>-524998.5</v>
      </c>
      <c r="AB61" s="323">
        <f>SUM(AB57:AB60)*0.1*-1</f>
        <v>-553504</v>
      </c>
    </row>
    <row r="62" spans="1:28" x14ac:dyDescent="0.3">
      <c r="A62" s="56"/>
      <c r="C62" s="69">
        <f>SUM(C58:C61)</f>
        <v>1980000</v>
      </c>
      <c r="E62" s="69">
        <f>SUM(E58)</f>
        <v>2088000</v>
      </c>
      <c r="G62" s="69">
        <f>SUM(G58)</f>
        <v>2340000</v>
      </c>
      <c r="I62" s="69">
        <f>SUM(I58)</f>
        <v>2430000</v>
      </c>
      <c r="J62" s="70"/>
      <c r="K62" s="71"/>
      <c r="L62" s="69">
        <f>SUM(L58)</f>
        <v>2676000</v>
      </c>
      <c r="M62" s="72"/>
      <c r="N62" s="69">
        <f>SUM(N58)</f>
        <v>2987000</v>
      </c>
      <c r="O62" s="70"/>
      <c r="P62" s="70">
        <f>SUM(P58)</f>
        <v>3088000</v>
      </c>
      <c r="Q62" s="73"/>
      <c r="R62" s="70">
        <f>SUM(R58:R61)</f>
        <v>3385000</v>
      </c>
      <c r="S62" s="73"/>
      <c r="T62" s="70">
        <f>SUM(T58:T61)</f>
        <v>3778000</v>
      </c>
      <c r="U62" s="73"/>
      <c r="V62" s="313">
        <f>SUM(V57:V61)</f>
        <v>4022926.2</v>
      </c>
      <c r="W62" s="73"/>
      <c r="X62" s="313">
        <f>SUM(X57:X61)</f>
        <v>4254219</v>
      </c>
      <c r="Y62" s="73"/>
      <c r="Z62" s="313">
        <f>SUM(Z57:Z61)</f>
        <v>4468437</v>
      </c>
      <c r="AA62" s="313">
        <f>SUM(AA57:AA61)</f>
        <v>4724986.5</v>
      </c>
      <c r="AB62" s="313">
        <f>SUM(AB57:AB61)</f>
        <v>4981536</v>
      </c>
    </row>
    <row r="63" spans="1:28" x14ac:dyDescent="0.3">
      <c r="A63" s="56" t="s">
        <v>37</v>
      </c>
      <c r="C63" s="86">
        <v>1</v>
      </c>
      <c r="E63" s="86">
        <v>1</v>
      </c>
      <c r="G63" s="86">
        <v>1</v>
      </c>
      <c r="I63" s="86">
        <v>1</v>
      </c>
      <c r="J63" s="87"/>
      <c r="K63" s="71"/>
      <c r="L63" s="86">
        <v>1</v>
      </c>
      <c r="M63" s="89"/>
      <c r="N63" s="86">
        <v>1</v>
      </c>
      <c r="O63" s="87"/>
      <c r="P63" s="87">
        <v>1</v>
      </c>
      <c r="Q63" s="73"/>
      <c r="R63" s="87">
        <v>1</v>
      </c>
      <c r="S63" s="73"/>
      <c r="T63" s="87">
        <v>1</v>
      </c>
      <c r="U63" s="73"/>
      <c r="V63" s="314">
        <v>1</v>
      </c>
      <c r="W63" s="73"/>
      <c r="X63" s="314">
        <v>1</v>
      </c>
      <c r="Y63" s="73"/>
      <c r="Z63" s="314">
        <v>1</v>
      </c>
      <c r="AA63" s="314">
        <v>1</v>
      </c>
      <c r="AB63" s="314">
        <v>1</v>
      </c>
    </row>
    <row r="64" spans="1:28" x14ac:dyDescent="0.3">
      <c r="A64" s="56" t="s">
        <v>38</v>
      </c>
      <c r="C64" s="90">
        <v>0.15857099999999999</v>
      </c>
      <c r="E64" s="90">
        <v>0.1574547</v>
      </c>
      <c r="G64" s="90">
        <f>350240377/2340000000%*0.01</f>
        <v>0.14967537478632481</v>
      </c>
      <c r="I64" s="90">
        <f>370904020/2430000000</f>
        <v>0.15263539917695473</v>
      </c>
      <c r="J64" s="91"/>
      <c r="K64" s="92"/>
      <c r="L64" s="90">
        <v>0.141817</v>
      </c>
      <c r="M64" s="94"/>
      <c r="N64" s="90">
        <f>345023.428/2987000</f>
        <v>0.11550834549715434</v>
      </c>
      <c r="O64" s="91"/>
      <c r="P64" s="91">
        <f>422107.916/P62</f>
        <v>0.13669297797927463</v>
      </c>
      <c r="Q64" s="84"/>
      <c r="R64" s="91">
        <f>442919876/3385000000</f>
        <v>0.13084782156573116</v>
      </c>
      <c r="S64" s="84"/>
      <c r="T64" s="91">
        <f>473376364/3778000000</f>
        <v>0.12529813763896241</v>
      </c>
      <c r="U64" s="84"/>
      <c r="V64" s="315">
        <f>SUM(T64)</f>
        <v>0.12529813763896241</v>
      </c>
      <c r="W64" s="84"/>
      <c r="X64" s="315">
        <f>SUM(V64)</f>
        <v>0.12529813763896241</v>
      </c>
      <c r="Y64" s="84"/>
      <c r="Z64" s="315">
        <f t="shared" ref="Z64" si="31">SUM(X64)</f>
        <v>0.12529813763896241</v>
      </c>
      <c r="AA64" s="315">
        <f>SUM(Z64)</f>
        <v>0.12529813763896241</v>
      </c>
      <c r="AB64" s="315">
        <f>SUM(AA64)</f>
        <v>0.12529813763896241</v>
      </c>
    </row>
    <row r="65" spans="1:28" x14ac:dyDescent="0.3">
      <c r="A65" s="56" t="s">
        <v>39</v>
      </c>
      <c r="C65" s="69">
        <f>SUM(C62*C64)</f>
        <v>313970.57999999996</v>
      </c>
      <c r="E65" s="69">
        <f>SUM(E62*E64)</f>
        <v>328765.41360000003</v>
      </c>
      <c r="G65" s="69">
        <f t="shared" ref="G65:I65" si="32">SUM(G62*G64)</f>
        <v>350240.37700000004</v>
      </c>
      <c r="I65" s="69">
        <f t="shared" si="32"/>
        <v>370904.02</v>
      </c>
      <c r="J65" s="70"/>
      <c r="K65" s="71"/>
      <c r="L65" s="69">
        <f t="shared" ref="L65:Z65" si="33">SUM(L62*L64)</f>
        <v>379502.29200000002</v>
      </c>
      <c r="M65" s="72"/>
      <c r="N65" s="69">
        <f t="shared" si="33"/>
        <v>345023.42800000001</v>
      </c>
      <c r="O65" s="70"/>
      <c r="P65" s="70">
        <f t="shared" si="33"/>
        <v>422107.91600000003</v>
      </c>
      <c r="Q65" s="73"/>
      <c r="R65" s="70">
        <f>SUM(R62*R64)</f>
        <v>442919.87599999999</v>
      </c>
      <c r="S65" s="73"/>
      <c r="T65" s="70">
        <f>SUM(T62*T64)</f>
        <v>473376.364</v>
      </c>
      <c r="U65" s="73"/>
      <c r="V65" s="313">
        <f>SUM(V62*V64)</f>
        <v>504065.16071898805</v>
      </c>
      <c r="W65" s="73"/>
      <c r="X65" s="313">
        <f t="shared" si="33"/>
        <v>533045.71780828899</v>
      </c>
      <c r="Y65" s="73"/>
      <c r="Z65" s="313">
        <f t="shared" si="33"/>
        <v>559886.83425703226</v>
      </c>
      <c r="AA65" s="313">
        <f>SUM(AA62*AA64)</f>
        <v>592032.00881923933</v>
      </c>
      <c r="AB65" s="313">
        <f>SUM(AB62*AB64)</f>
        <v>624177.18338144629</v>
      </c>
    </row>
    <row r="66" spans="1:28" x14ac:dyDescent="0.3">
      <c r="A66" s="56" t="s">
        <v>60</v>
      </c>
      <c r="C66" s="69">
        <f>6237-14-53-14-267</f>
        <v>5889</v>
      </c>
      <c r="E66" s="69">
        <f>-198.728-15-50.618056</f>
        <v>-264.34605600000003</v>
      </c>
      <c r="G66" s="69">
        <f>-217.58-15-69.194-0.062</f>
        <v>-301.83600000000001</v>
      </c>
      <c r="I66" s="69">
        <f>-215.103-15-50.168-0.061</f>
        <v>-280.33199999999999</v>
      </c>
      <c r="J66" s="70"/>
      <c r="K66" s="71"/>
      <c r="L66" s="69">
        <f>-49.245-0.521-15-223.702</f>
        <v>-288.46799999999996</v>
      </c>
      <c r="M66" s="72"/>
      <c r="N66" s="69">
        <v>-276.91899999999998</v>
      </c>
      <c r="O66" s="70"/>
      <c r="P66" s="70">
        <v>-569.95299999999997</v>
      </c>
      <c r="Q66" s="73"/>
      <c r="R66" s="70">
        <v>-560</v>
      </c>
      <c r="S66" s="73"/>
      <c r="T66" s="70">
        <v>-721.41099999999994</v>
      </c>
      <c r="U66" s="73"/>
      <c r="V66" s="313">
        <v>0</v>
      </c>
      <c r="W66" s="73"/>
      <c r="X66" s="313">
        <v>0</v>
      </c>
      <c r="Y66" s="73"/>
      <c r="Z66" s="313">
        <v>0</v>
      </c>
      <c r="AA66" s="313">
        <v>0</v>
      </c>
      <c r="AB66" s="313">
        <v>0</v>
      </c>
    </row>
    <row r="67" spans="1:28" x14ac:dyDescent="0.3">
      <c r="A67" s="56" t="s">
        <v>61</v>
      </c>
      <c r="C67" s="156">
        <v>1</v>
      </c>
      <c r="E67" s="156">
        <v>1</v>
      </c>
      <c r="G67" s="156">
        <v>1</v>
      </c>
      <c r="I67" s="156">
        <v>1</v>
      </c>
      <c r="J67" s="157"/>
      <c r="K67" s="71"/>
      <c r="L67" s="156">
        <v>1</v>
      </c>
      <c r="M67" s="158"/>
      <c r="N67" s="156">
        <v>1</v>
      </c>
      <c r="O67" s="157"/>
      <c r="P67" s="157">
        <v>1</v>
      </c>
      <c r="Q67" s="73"/>
      <c r="R67" s="157">
        <v>1</v>
      </c>
      <c r="S67" s="73"/>
      <c r="T67" s="157">
        <v>1</v>
      </c>
      <c r="U67" s="73"/>
      <c r="V67" s="326">
        <v>1</v>
      </c>
      <c r="W67" s="73"/>
      <c r="X67" s="326">
        <v>1</v>
      </c>
      <c r="Y67" s="73"/>
      <c r="Z67" s="326">
        <v>1</v>
      </c>
      <c r="AA67" s="326">
        <v>1</v>
      </c>
      <c r="AB67" s="326">
        <v>1</v>
      </c>
    </row>
    <row r="68" spans="1:28" x14ac:dyDescent="0.3">
      <c r="A68" s="159" t="s">
        <v>62</v>
      </c>
      <c r="C68" s="69">
        <f>SUM(C65:C66)*C67</f>
        <v>319859.57999999996</v>
      </c>
      <c r="E68" s="69">
        <f>SUM(E65:E66)*E67</f>
        <v>328501.06754400005</v>
      </c>
      <c r="G68" s="69">
        <f t="shared" ref="G68:I68" si="34">SUM(G65:G66)*G67</f>
        <v>349938.54100000003</v>
      </c>
      <c r="I68" s="69">
        <f t="shared" si="34"/>
        <v>370623.68800000002</v>
      </c>
      <c r="J68" s="70"/>
      <c r="K68" s="71"/>
      <c r="L68" s="69">
        <f t="shared" ref="L68:N68" si="35">SUM(L65:L66)*L67</f>
        <v>379213.82400000002</v>
      </c>
      <c r="M68" s="72"/>
      <c r="N68" s="69">
        <f t="shared" si="35"/>
        <v>344746.50900000002</v>
      </c>
      <c r="O68" s="70"/>
      <c r="P68" s="70">
        <f t="shared" ref="P68:Z68" si="36">SUM(P65:P66)*P67</f>
        <v>421537.96300000005</v>
      </c>
      <c r="Q68" s="73"/>
      <c r="R68" s="70">
        <f>SUM(R65:R66)*R67</f>
        <v>442359.87599999999</v>
      </c>
      <c r="S68" s="73"/>
      <c r="T68" s="70">
        <f>SUM(T65:T66)*T67</f>
        <v>472654.95299999998</v>
      </c>
      <c r="U68" s="73"/>
      <c r="V68" s="313">
        <f>SUM(V65:V66)*V67</f>
        <v>504065.16071898805</v>
      </c>
      <c r="W68" s="73"/>
      <c r="X68" s="313">
        <f t="shared" si="36"/>
        <v>533045.71780828899</v>
      </c>
      <c r="Y68" s="73"/>
      <c r="Z68" s="313">
        <f t="shared" si="36"/>
        <v>559886.83425703226</v>
      </c>
      <c r="AA68" s="313">
        <f>SUM(AA65:AA66)*AA67</f>
        <v>592032.00881923933</v>
      </c>
      <c r="AB68" s="313">
        <f>SUM(AB65:AB66)*AB67</f>
        <v>624177.18338144629</v>
      </c>
    </row>
    <row r="69" spans="1:28" x14ac:dyDescent="0.3">
      <c r="A69" s="56" t="s">
        <v>140</v>
      </c>
      <c r="C69" s="96">
        <f>20889221/319841522</f>
        <v>6.5311160569077084E-2</v>
      </c>
      <c r="E69" s="104">
        <v>6.5777000000000002E-2</v>
      </c>
      <c r="G69" s="105">
        <f>22904266/349938542</f>
        <v>6.5452253041621236E-2</v>
      </c>
      <c r="I69" s="96">
        <f>24674/370624</f>
        <v>6.6574209981005009E-2</v>
      </c>
      <c r="J69" s="160"/>
      <c r="K69" s="81"/>
      <c r="L69" s="96">
        <f>24737.466/379214</f>
        <v>6.5233525133565742E-2</v>
      </c>
      <c r="M69" s="161"/>
      <c r="N69" s="96">
        <f>22376.23/344747</f>
        <v>6.4906235587256736E-2</v>
      </c>
      <c r="O69" s="162"/>
      <c r="P69" s="163">
        <f>27999.644/421537.956</f>
        <v>6.6422592797313842E-2</v>
      </c>
      <c r="Q69" s="164"/>
      <c r="R69" s="176">
        <f>29277053/442360264</f>
        <v>6.6183731638246784E-2</v>
      </c>
      <c r="S69" s="164"/>
      <c r="T69" s="176">
        <f>30670.574/T68</f>
        <v>6.4889987516961456E-2</v>
      </c>
      <c r="U69" s="164"/>
      <c r="V69" s="327">
        <f>SUM(T69)</f>
        <v>6.4889987516961456E-2</v>
      </c>
      <c r="W69" s="164"/>
      <c r="X69" s="327">
        <f>SUM(V69)</f>
        <v>6.4889987516961456E-2</v>
      </c>
      <c r="Y69" s="164"/>
      <c r="Z69" s="327">
        <f t="shared" ref="Z69" si="37">SUM(X69)</f>
        <v>6.4889987516961456E-2</v>
      </c>
      <c r="AA69" s="327">
        <f>SUM(Z69)</f>
        <v>6.4889987516961456E-2</v>
      </c>
      <c r="AB69" s="327">
        <f>SUM(AA69)</f>
        <v>6.4889987516961456E-2</v>
      </c>
    </row>
    <row r="70" spans="1:28" x14ac:dyDescent="0.3">
      <c r="A70" s="56" t="s">
        <v>63</v>
      </c>
      <c r="C70" s="69">
        <f>SUM(C68*C69)</f>
        <v>20890.400388937553</v>
      </c>
      <c r="E70" s="69">
        <f>SUM(E68*E69)</f>
        <v>21607.814719841692</v>
      </c>
      <c r="G70" s="69">
        <f t="shared" ref="G70:I70" si="38">SUM(G68*G69)</f>
        <v>22904.265934547748</v>
      </c>
      <c r="I70" s="69">
        <f t="shared" si="38"/>
        <v>24673.979228846489</v>
      </c>
      <c r="J70" s="153"/>
      <c r="K70" s="71"/>
      <c r="L70" s="69">
        <f t="shared" ref="L70:Z70" si="39">SUM(L68*L69)</f>
        <v>24737.454518899576</v>
      </c>
      <c r="M70" s="72"/>
      <c r="N70" s="69">
        <f t="shared" si="39"/>
        <v>22376.198131038327</v>
      </c>
      <c r="O70" s="165"/>
      <c r="P70" s="131">
        <f t="shared" si="39"/>
        <v>27999.644464958154</v>
      </c>
      <c r="Q70" s="166"/>
      <c r="R70" s="70">
        <f>SUM(R68*R69)</f>
        <v>29277.027320712124</v>
      </c>
      <c r="S70" s="294"/>
      <c r="T70" s="70">
        <f>SUM(T68*T69)</f>
        <v>30670.574000000001</v>
      </c>
      <c r="U70" s="166"/>
      <c r="V70" s="313">
        <f>SUM(V68*V69)</f>
        <v>32708.781986790305</v>
      </c>
      <c r="W70" s="166"/>
      <c r="X70" s="313">
        <f t="shared" si="39"/>
        <v>34589.329974549633</v>
      </c>
      <c r="Y70" s="166"/>
      <c r="Z70" s="313">
        <f t="shared" si="39"/>
        <v>36331.049685849888</v>
      </c>
      <c r="AA70" s="313">
        <f>SUM(AA68*AA69)</f>
        <v>38416.949661922052</v>
      </c>
      <c r="AB70" s="313">
        <f>SUM(AB68*AB69)</f>
        <v>40502.849637994208</v>
      </c>
    </row>
    <row r="71" spans="1:28" x14ac:dyDescent="0.3">
      <c r="A71" s="56" t="s">
        <v>64</v>
      </c>
      <c r="C71" s="69">
        <v>0</v>
      </c>
      <c r="E71" s="69">
        <v>0</v>
      </c>
      <c r="G71" s="69">
        <v>0</v>
      </c>
      <c r="I71" s="69">
        <v>0</v>
      </c>
      <c r="J71" s="153"/>
      <c r="K71" s="71"/>
      <c r="L71" s="69">
        <v>0</v>
      </c>
      <c r="M71" s="72"/>
      <c r="N71" s="74">
        <v>0</v>
      </c>
      <c r="O71" s="72"/>
      <c r="P71" s="70">
        <v>0</v>
      </c>
      <c r="Q71" s="71"/>
      <c r="R71" s="70">
        <v>0</v>
      </c>
      <c r="S71" s="71"/>
      <c r="T71" s="70">
        <v>0</v>
      </c>
      <c r="U71" s="71"/>
      <c r="V71" s="313">
        <v>0</v>
      </c>
      <c r="W71" s="71"/>
      <c r="X71" s="313">
        <v>0</v>
      </c>
      <c r="Y71" s="71"/>
      <c r="Z71" s="313">
        <v>0</v>
      </c>
      <c r="AA71" s="313">
        <v>0</v>
      </c>
      <c r="AB71" s="313">
        <v>0</v>
      </c>
    </row>
    <row r="72" spans="1:28" x14ac:dyDescent="0.3">
      <c r="A72" s="56" t="s">
        <v>65</v>
      </c>
      <c r="C72" s="99">
        <f>SUM(C70:C71)</f>
        <v>20890.400388937553</v>
      </c>
      <c r="E72" s="99">
        <f>SUM(E70:E71)</f>
        <v>21607.814719841692</v>
      </c>
      <c r="G72" s="99">
        <f t="shared" ref="G72:I72" si="40">SUM(G70:G71)</f>
        <v>22904.265934547748</v>
      </c>
      <c r="I72" s="99">
        <f t="shared" si="40"/>
        <v>24673.979228846489</v>
      </c>
      <c r="J72" s="167"/>
      <c r="K72" s="101"/>
      <c r="L72" s="99">
        <f t="shared" ref="L72:Z72" si="41">SUM(L70:L71)</f>
        <v>24737.454518899576</v>
      </c>
      <c r="M72" s="102"/>
      <c r="N72" s="99">
        <f t="shared" si="41"/>
        <v>22376.198131038327</v>
      </c>
      <c r="O72" s="102"/>
      <c r="P72" s="100">
        <f t="shared" si="41"/>
        <v>27999.644464958154</v>
      </c>
      <c r="Q72" s="101"/>
      <c r="R72" s="100">
        <f t="shared" ref="R72" si="42">SUM(R70:R71)</f>
        <v>29277.027320712124</v>
      </c>
      <c r="S72" s="101"/>
      <c r="T72" s="100">
        <f>SUM(T70:T71)</f>
        <v>30670.574000000001</v>
      </c>
      <c r="U72" s="101"/>
      <c r="V72" s="317">
        <f>SUM(V70:V71)</f>
        <v>32708.781986790305</v>
      </c>
      <c r="W72" s="101"/>
      <c r="X72" s="317">
        <f t="shared" si="41"/>
        <v>34589.329974549633</v>
      </c>
      <c r="Y72" s="101"/>
      <c r="Z72" s="317">
        <f t="shared" si="41"/>
        <v>36331.049685849888</v>
      </c>
      <c r="AA72" s="317">
        <f>SUM(AA70:AA71)</f>
        <v>38416.949661922052</v>
      </c>
      <c r="AB72" s="317">
        <f>SUM(AB70:AB71)</f>
        <v>40502.849637994208</v>
      </c>
    </row>
    <row r="73" spans="1:28" x14ac:dyDescent="0.3">
      <c r="A73" s="56" t="s">
        <v>44</v>
      </c>
      <c r="B73" s="168"/>
      <c r="C73" s="105">
        <v>0.31665890000000002</v>
      </c>
      <c r="D73" s="136">
        <f>SUM(E73-C73)/E73</f>
        <v>1.2508805778898601E-2</v>
      </c>
      <c r="E73" s="105">
        <v>0.32067010000000001</v>
      </c>
      <c r="F73" s="169">
        <f>SUM(G73-E73)/G73</f>
        <v>-1.7309515855741205E-2</v>
      </c>
      <c r="G73" s="105">
        <v>0.31521389999999999</v>
      </c>
      <c r="H73" s="108">
        <f>SUM(I73-G73)/G73</f>
        <v>4.9560661099330737E-2</v>
      </c>
      <c r="I73" s="105">
        <f>8163129.23/24674239</f>
        <v>0.33083610927169832</v>
      </c>
      <c r="J73" s="137"/>
      <c r="K73" s="108">
        <f>SUM(L73-I73)/I73</f>
        <v>3.3346375673087368E-2</v>
      </c>
      <c r="L73" s="105">
        <f>8456.796/24737</f>
        <v>0.34186829445769495</v>
      </c>
      <c r="M73" s="108">
        <f>SUM((N73-L73)/L73)</f>
        <v>5.3951137019573575E-2</v>
      </c>
      <c r="N73" s="104">
        <f>8062.352/22376</f>
        <v>0.36031247765462998</v>
      </c>
      <c r="O73" s="108">
        <f>SUM((P73-N73)/N73)</f>
        <v>-3.346566291247341E-2</v>
      </c>
      <c r="P73" s="293">
        <f>9750.99871/27999.644</f>
        <v>0.34825438173428203</v>
      </c>
      <c r="Q73" s="294">
        <f>SUM((R73-P73)/P73)</f>
        <v>2.2302190699755222E-2</v>
      </c>
      <c r="R73" s="293">
        <f>10423252.05/29277053</f>
        <v>0.35602121736774534</v>
      </c>
      <c r="S73" s="294">
        <f>SUM((T73-R73)/R73)</f>
        <v>2.2726163818205108E-2</v>
      </c>
      <c r="T73" s="293">
        <f>11167.5306/T72</f>
        <v>0.36411221387640152</v>
      </c>
      <c r="U73" s="305">
        <f>$U$30</f>
        <v>0.01</v>
      </c>
      <c r="V73" s="318">
        <f>SUM(T73*(1+U73))</f>
        <v>0.36775333601516552</v>
      </c>
      <c r="W73" s="305">
        <f>$W$30</f>
        <v>1.4999999999999999E-2</v>
      </c>
      <c r="X73" s="318">
        <f>SUM(V73*(1+W73))</f>
        <v>0.37326963605539298</v>
      </c>
      <c r="Y73" s="305">
        <f>$Y$30</f>
        <v>0.02</v>
      </c>
      <c r="Z73" s="318">
        <f>SUM(X73*(1+Y73))</f>
        <v>0.38073502877650084</v>
      </c>
      <c r="AA73" s="318">
        <f>SUM(Z73*(1+Y73))</f>
        <v>0.38834972935203088</v>
      </c>
      <c r="AB73" s="318">
        <f>SUM(AA73*(1+Y73))</f>
        <v>0.39611672393907149</v>
      </c>
    </row>
    <row r="74" spans="1:28" x14ac:dyDescent="0.3">
      <c r="A74" s="56"/>
      <c r="C74" s="110"/>
      <c r="E74" s="110"/>
      <c r="G74" s="110"/>
      <c r="I74" s="110"/>
      <c r="J74" s="139"/>
      <c r="K74" s="71"/>
      <c r="L74" s="110"/>
      <c r="M74" s="111"/>
      <c r="N74" s="110"/>
      <c r="O74" s="111"/>
      <c r="P74" s="139"/>
      <c r="Q74" s="71"/>
      <c r="R74" s="139"/>
      <c r="S74" s="71"/>
      <c r="T74" s="139"/>
      <c r="U74" s="71"/>
      <c r="V74" s="319"/>
      <c r="W74" s="71"/>
      <c r="X74" s="319"/>
      <c r="Y74" s="71"/>
      <c r="Z74" s="319"/>
      <c r="AA74" s="319"/>
      <c r="AB74" s="319"/>
    </row>
    <row r="75" spans="1:28" ht="15" thickBot="1" x14ac:dyDescent="0.35">
      <c r="A75" s="52" t="s">
        <v>45</v>
      </c>
      <c r="C75" s="112">
        <f>SUM(C72*C73)</f>
        <v>6615.1312077205384</v>
      </c>
      <c r="E75" s="112">
        <f>SUM(E72*E73)</f>
        <v>6928.9801069931073</v>
      </c>
      <c r="G75" s="112">
        <f t="shared" ref="G75:I75" si="43">SUM(G72*G73)</f>
        <v>7219.74299186594</v>
      </c>
      <c r="I75" s="112">
        <f t="shared" si="43"/>
        <v>8163.043288322272</v>
      </c>
      <c r="J75" s="141"/>
      <c r="K75" s="114"/>
      <c r="L75" s="112">
        <f t="shared" ref="L75:Z75" si="44">SUM(L72*L73)</f>
        <v>8456.9513856009962</v>
      </c>
      <c r="M75" s="113"/>
      <c r="N75" s="112">
        <f t="shared" si="44"/>
        <v>8062.4233890853202</v>
      </c>
      <c r="O75" s="113"/>
      <c r="P75" s="141">
        <f>SUM(P72*P73)</f>
        <v>9750.9988719237135</v>
      </c>
      <c r="Q75" s="114"/>
      <c r="R75" s="141">
        <f>SUM(R72*R73)</f>
        <v>10423.24290762867</v>
      </c>
      <c r="S75" s="114"/>
      <c r="T75" s="141">
        <f>SUM(T72*T73)</f>
        <v>11167.5306</v>
      </c>
      <c r="U75" s="114"/>
      <c r="V75" s="320">
        <f>SUM(V72*V73)</f>
        <v>12028.763692634888</v>
      </c>
      <c r="W75" s="114"/>
      <c r="X75" s="320">
        <f t="shared" si="44"/>
        <v>12911.146611000037</v>
      </c>
      <c r="Y75" s="114"/>
      <c r="Z75" s="320">
        <f t="shared" si="44"/>
        <v>13832.503247622539</v>
      </c>
      <c r="AA75" s="320">
        <f>SUM(AA72*AA73)</f>
        <v>14919.212003738023</v>
      </c>
      <c r="AB75" s="320">
        <f>SUM(AB72*AB73)</f>
        <v>16043.856108799073</v>
      </c>
    </row>
    <row r="76" spans="1:28" ht="15" thickTop="1" x14ac:dyDescent="0.3">
      <c r="A76" s="170"/>
      <c r="C76" s="171"/>
      <c r="E76" s="171"/>
      <c r="F76" s="171"/>
      <c r="G76" s="171"/>
      <c r="I76" s="171"/>
      <c r="J76" s="171"/>
      <c r="K76" s="172"/>
      <c r="L76" s="173"/>
      <c r="M76" s="171"/>
      <c r="N76" s="171"/>
      <c r="O76" s="171"/>
      <c r="P76" s="171"/>
      <c r="Q76" s="172"/>
      <c r="R76" s="171"/>
      <c r="S76" s="172"/>
      <c r="T76" s="171"/>
      <c r="U76" s="172"/>
      <c r="V76" s="171"/>
      <c r="W76" s="172"/>
      <c r="X76" s="171"/>
      <c r="Y76" s="172"/>
      <c r="Z76" s="171"/>
      <c r="AA76" s="171"/>
      <c r="AB76" s="171"/>
    </row>
    <row r="77" spans="1:28" x14ac:dyDescent="0.3">
      <c r="A77" s="60" t="s">
        <v>66</v>
      </c>
      <c r="C77" s="57" t="s">
        <v>67</v>
      </c>
      <c r="E77" s="57" t="s">
        <v>68</v>
      </c>
      <c r="G77" s="57" t="s">
        <v>69</v>
      </c>
      <c r="I77" s="57" t="s">
        <v>70</v>
      </c>
      <c r="J77" s="120"/>
      <c r="K77" s="59"/>
      <c r="L77" s="57" t="s">
        <v>71</v>
      </c>
      <c r="M77" s="58"/>
      <c r="N77" s="57" t="s">
        <v>72</v>
      </c>
      <c r="O77" s="120"/>
      <c r="P77" s="120" t="s">
        <v>73</v>
      </c>
      <c r="Q77" s="174"/>
      <c r="R77" s="120" t="s">
        <v>134</v>
      </c>
      <c r="S77" s="174"/>
      <c r="T77" s="120" t="s">
        <v>150</v>
      </c>
      <c r="U77" s="174"/>
      <c r="V77" s="301" t="s">
        <v>74</v>
      </c>
      <c r="W77" s="174"/>
      <c r="X77" s="301" t="s">
        <v>136</v>
      </c>
      <c r="Y77" s="174"/>
      <c r="Z77" s="301" t="s">
        <v>137</v>
      </c>
      <c r="AA77" s="301" t="s">
        <v>138</v>
      </c>
      <c r="AB77" s="301" t="str">
        <f>$AB$10</f>
        <v>2023 Estimate</v>
      </c>
    </row>
    <row r="78" spans="1:28" x14ac:dyDescent="0.3">
      <c r="A78" s="147"/>
      <c r="C78" s="62"/>
      <c r="E78" s="62"/>
      <c r="G78" s="62"/>
      <c r="I78" s="62"/>
      <c r="J78" s="63"/>
      <c r="K78" s="64"/>
      <c r="L78" s="62"/>
      <c r="M78" s="65"/>
      <c r="N78" s="62"/>
      <c r="O78" s="63"/>
      <c r="P78" s="65"/>
      <c r="Q78" s="175"/>
      <c r="R78" s="65"/>
      <c r="S78" s="175"/>
      <c r="T78" s="65"/>
      <c r="U78" s="175"/>
      <c r="V78" s="321"/>
      <c r="W78" s="175"/>
      <c r="X78" s="321"/>
      <c r="Y78" s="175"/>
      <c r="Z78" s="321"/>
      <c r="AA78" s="321"/>
      <c r="AB78" s="321"/>
    </row>
    <row r="79" spans="1:28" x14ac:dyDescent="0.3">
      <c r="A79" s="56" t="s">
        <v>30</v>
      </c>
      <c r="C79" s="45" t="s">
        <v>75</v>
      </c>
      <c r="E79" s="45" t="s">
        <v>75</v>
      </c>
      <c r="G79" s="45" t="s">
        <v>75</v>
      </c>
      <c r="I79" s="45" t="s">
        <v>75</v>
      </c>
      <c r="J79" s="46"/>
      <c r="K79" s="43"/>
      <c r="L79" s="45" t="s">
        <v>75</v>
      </c>
      <c r="M79" s="42"/>
      <c r="N79" s="45" t="s">
        <v>75</v>
      </c>
      <c r="O79" s="46"/>
      <c r="P79" s="46" t="s">
        <v>75</v>
      </c>
      <c r="Q79" s="47"/>
      <c r="R79" s="46" t="s">
        <v>75</v>
      </c>
      <c r="S79" s="47"/>
      <c r="T79" s="46" t="s">
        <v>75</v>
      </c>
      <c r="U79" s="47"/>
      <c r="V79" s="308" t="s">
        <v>75</v>
      </c>
      <c r="W79" s="47"/>
      <c r="X79" s="308" t="s">
        <v>75</v>
      </c>
      <c r="Y79" s="47"/>
      <c r="Z79" s="308" t="s">
        <v>75</v>
      </c>
      <c r="AA79" s="308" t="s">
        <v>75</v>
      </c>
      <c r="AB79" s="308" t="s">
        <v>75</v>
      </c>
    </row>
    <row r="80" spans="1:28" x14ac:dyDescent="0.3">
      <c r="A80" s="56" t="s">
        <v>31</v>
      </c>
      <c r="C80" s="69">
        <v>841</v>
      </c>
      <c r="E80" s="69">
        <v>925</v>
      </c>
      <c r="G80" s="69">
        <v>888</v>
      </c>
      <c r="I80" s="69">
        <v>1002</v>
      </c>
      <c r="J80" s="70"/>
      <c r="K80" s="71"/>
      <c r="L80" s="69">
        <v>1190</v>
      </c>
      <c r="M80" s="72"/>
      <c r="N80" s="69">
        <v>1131</v>
      </c>
      <c r="O80" s="70"/>
      <c r="P80" s="70">
        <v>1137.998</v>
      </c>
      <c r="Q80" s="73"/>
      <c r="R80" s="70">
        <v>1221</v>
      </c>
      <c r="S80" s="73"/>
      <c r="T80" s="70">
        <v>1432</v>
      </c>
      <c r="U80" s="73"/>
      <c r="V80" s="313">
        <f>SUM(T80)</f>
        <v>1432</v>
      </c>
      <c r="W80" s="73"/>
      <c r="X80" s="313">
        <f>SUM(V80)</f>
        <v>1432</v>
      </c>
      <c r="Y80" s="73"/>
      <c r="Z80" s="313">
        <f>SUM(X80)</f>
        <v>1432</v>
      </c>
      <c r="AA80" s="313">
        <f t="shared" ref="AA80" si="45">SUM(Z80)</f>
        <v>1432</v>
      </c>
      <c r="AB80" s="313">
        <f>SUM(AA80)</f>
        <v>1432</v>
      </c>
    </row>
    <row r="81" spans="1:28" x14ac:dyDescent="0.3">
      <c r="A81" s="56" t="s">
        <v>76</v>
      </c>
      <c r="C81" s="69">
        <f>SUM(C73)</f>
        <v>0.31665890000000002</v>
      </c>
      <c r="E81" s="69">
        <f>SUM(E73)</f>
        <v>0.32067010000000001</v>
      </c>
      <c r="G81" s="69">
        <f>SUM(G73)</f>
        <v>0.31521389999999999</v>
      </c>
      <c r="I81" s="69">
        <f>SUM(I73)</f>
        <v>0.33083610927169832</v>
      </c>
      <c r="J81" s="70"/>
      <c r="K81" s="71" t="s">
        <v>1</v>
      </c>
      <c r="L81" s="69">
        <v>0</v>
      </c>
      <c r="M81" s="72"/>
      <c r="N81" s="69">
        <v>0</v>
      </c>
      <c r="O81" s="70"/>
      <c r="P81" s="70">
        <v>0</v>
      </c>
      <c r="Q81" s="73"/>
      <c r="R81" s="70">
        <v>0</v>
      </c>
      <c r="S81" s="73"/>
      <c r="T81" s="70">
        <v>0</v>
      </c>
      <c r="U81" s="73"/>
      <c r="V81" s="313">
        <v>0</v>
      </c>
      <c r="W81" s="73"/>
      <c r="X81" s="313">
        <v>0</v>
      </c>
      <c r="Y81" s="73"/>
      <c r="Z81" s="313">
        <v>0</v>
      </c>
      <c r="AA81" s="313">
        <v>0</v>
      </c>
      <c r="AB81" s="313">
        <v>0</v>
      </c>
    </row>
    <row r="82" spans="1:28" x14ac:dyDescent="0.3">
      <c r="A82" s="56" t="s">
        <v>52</v>
      </c>
      <c r="C82" s="69">
        <f>SUM(C74)</f>
        <v>0</v>
      </c>
      <c r="E82" s="69">
        <f>SUM(E74)</f>
        <v>0</v>
      </c>
      <c r="G82" s="69">
        <f>SUM(G74)</f>
        <v>0</v>
      </c>
      <c r="I82" s="69">
        <f>SUM(I74)</f>
        <v>0</v>
      </c>
      <c r="J82" s="70"/>
      <c r="K82" s="71"/>
      <c r="L82" s="69">
        <v>0</v>
      </c>
      <c r="M82" s="72"/>
      <c r="N82" s="69">
        <v>0</v>
      </c>
      <c r="O82" s="70"/>
      <c r="P82" s="70">
        <f>SUM(P74)</f>
        <v>0</v>
      </c>
      <c r="Q82" s="73"/>
      <c r="R82" s="70">
        <f>SUM(R74)</f>
        <v>0</v>
      </c>
      <c r="S82" s="73"/>
      <c r="T82" s="70">
        <f>SUM(T74)</f>
        <v>0</v>
      </c>
      <c r="U82" s="73"/>
      <c r="V82" s="313">
        <f>SUM(V74)</f>
        <v>0</v>
      </c>
      <c r="W82" s="73"/>
      <c r="X82" s="313">
        <f>SUM(X74)</f>
        <v>0</v>
      </c>
      <c r="Y82" s="73"/>
      <c r="Z82" s="313">
        <f>SUM(Z74)</f>
        <v>0</v>
      </c>
      <c r="AA82" s="313">
        <f>SUM(AA74)</f>
        <v>0</v>
      </c>
      <c r="AB82" s="313">
        <f>SUM(AB74)</f>
        <v>0</v>
      </c>
    </row>
    <row r="83" spans="1:28" x14ac:dyDescent="0.3">
      <c r="A83" s="56" t="s">
        <v>37</v>
      </c>
      <c r="C83" s="86">
        <v>1</v>
      </c>
      <c r="E83" s="86">
        <v>1</v>
      </c>
      <c r="G83" s="86">
        <v>1</v>
      </c>
      <c r="I83" s="86">
        <v>1</v>
      </c>
      <c r="J83" s="87"/>
      <c r="K83" s="71"/>
      <c r="L83" s="86">
        <v>1</v>
      </c>
      <c r="M83" s="89"/>
      <c r="N83" s="86">
        <v>1</v>
      </c>
      <c r="O83" s="87"/>
      <c r="P83" s="87">
        <v>1</v>
      </c>
      <c r="Q83" s="73"/>
      <c r="R83" s="87">
        <v>1</v>
      </c>
      <c r="S83" s="73"/>
      <c r="T83" s="87">
        <v>1</v>
      </c>
      <c r="U83" s="73"/>
      <c r="V83" s="314">
        <v>1</v>
      </c>
      <c r="W83" s="73"/>
      <c r="X83" s="314">
        <v>1</v>
      </c>
      <c r="Y83" s="73"/>
      <c r="Z83" s="314">
        <v>1</v>
      </c>
      <c r="AA83" s="314">
        <v>1</v>
      </c>
      <c r="AB83" s="314">
        <v>1</v>
      </c>
    </row>
    <row r="84" spans="1:28" x14ac:dyDescent="0.3">
      <c r="A84" s="56" t="s">
        <v>38</v>
      </c>
      <c r="C84" s="90">
        <v>1</v>
      </c>
      <c r="E84" s="90">
        <v>1</v>
      </c>
      <c r="G84" s="90">
        <v>1</v>
      </c>
      <c r="I84" s="90">
        <v>1</v>
      </c>
      <c r="J84" s="91"/>
      <c r="K84" s="81"/>
      <c r="L84" s="90">
        <v>1</v>
      </c>
      <c r="M84" s="94"/>
      <c r="N84" s="90">
        <v>1</v>
      </c>
      <c r="O84" s="91"/>
      <c r="P84" s="91">
        <v>1</v>
      </c>
      <c r="Q84" s="84"/>
      <c r="R84" s="91">
        <v>1</v>
      </c>
      <c r="S84" s="84"/>
      <c r="T84" s="91">
        <v>1</v>
      </c>
      <c r="U84" s="84"/>
      <c r="V84" s="315">
        <v>1</v>
      </c>
      <c r="W84" s="84"/>
      <c r="X84" s="315">
        <v>1</v>
      </c>
      <c r="Y84" s="84"/>
      <c r="Z84" s="315">
        <v>1</v>
      </c>
      <c r="AA84" s="315">
        <v>1</v>
      </c>
      <c r="AB84" s="315">
        <v>1</v>
      </c>
    </row>
    <row r="85" spans="1:28" x14ac:dyDescent="0.3">
      <c r="A85" s="56" t="s">
        <v>39</v>
      </c>
      <c r="C85" s="69">
        <f>SUM((C80+C81+C82)*C83*C84)</f>
        <v>841.31665889999999</v>
      </c>
      <c r="E85" s="69">
        <f>SUM((E80+E81+E82)*E83*E84)</f>
        <v>925.32067010000003</v>
      </c>
      <c r="G85" s="69">
        <f t="shared" ref="G85:I85" si="46">SUM((G80+G81+G82)*G83*G84)</f>
        <v>888.3152139</v>
      </c>
      <c r="I85" s="69">
        <f t="shared" si="46"/>
        <v>1002.3308361092717</v>
      </c>
      <c r="J85" s="70"/>
      <c r="K85" s="71"/>
      <c r="L85" s="69">
        <f>SUM((L80+L81+L82)*L83*L84)</f>
        <v>1190</v>
      </c>
      <c r="M85" s="72"/>
      <c r="N85" s="69">
        <f>SUM((N80+N81+N82)*N83*N84)</f>
        <v>1131</v>
      </c>
      <c r="O85" s="70"/>
      <c r="P85" s="70">
        <f t="shared" ref="P85:AA85" si="47">SUM((P80+P81+P82)*P83*P84)</f>
        <v>1137.998</v>
      </c>
      <c r="Q85" s="73"/>
      <c r="R85" s="70">
        <f t="shared" ref="R85" si="48">SUM((R80+R81+R82)*R83*R84)</f>
        <v>1221</v>
      </c>
      <c r="S85" s="73"/>
      <c r="T85" s="70">
        <f t="shared" si="47"/>
        <v>1432</v>
      </c>
      <c r="U85" s="73"/>
      <c r="V85" s="313">
        <f t="shared" si="47"/>
        <v>1432</v>
      </c>
      <c r="W85" s="73"/>
      <c r="X85" s="313">
        <f t="shared" si="47"/>
        <v>1432</v>
      </c>
      <c r="Y85" s="73"/>
      <c r="Z85" s="313">
        <f t="shared" si="47"/>
        <v>1432</v>
      </c>
      <c r="AA85" s="313">
        <f t="shared" si="47"/>
        <v>1432</v>
      </c>
      <c r="AB85" s="313">
        <f>SUM((AB80+AB81+AB82)*AB83*AB84)</f>
        <v>1432</v>
      </c>
    </row>
    <row r="86" spans="1:28" x14ac:dyDescent="0.3">
      <c r="A86" s="56" t="s">
        <v>60</v>
      </c>
      <c r="C86" s="69"/>
      <c r="E86" s="69"/>
      <c r="G86" s="69"/>
      <c r="I86" s="69"/>
      <c r="J86" s="70"/>
      <c r="K86" s="71"/>
      <c r="L86" s="69"/>
      <c r="M86" s="72"/>
      <c r="N86" s="69"/>
      <c r="O86" s="70"/>
      <c r="P86" s="124"/>
      <c r="Q86" s="73"/>
      <c r="R86" s="124"/>
      <c r="S86" s="73"/>
      <c r="T86" s="124"/>
      <c r="U86" s="73"/>
      <c r="V86" s="313"/>
      <c r="W86" s="73"/>
      <c r="X86" s="313"/>
      <c r="Y86" s="73"/>
      <c r="Z86" s="313"/>
      <c r="AA86" s="313"/>
      <c r="AB86" s="313"/>
    </row>
    <row r="87" spans="1:28" x14ac:dyDescent="0.3">
      <c r="A87" s="56" t="s">
        <v>61</v>
      </c>
      <c r="C87" s="156">
        <v>1</v>
      </c>
      <c r="E87" s="156">
        <v>1</v>
      </c>
      <c r="G87" s="156">
        <v>1</v>
      </c>
      <c r="I87" s="156">
        <v>1</v>
      </c>
      <c r="J87" s="157"/>
      <c r="K87" s="71"/>
      <c r="L87" s="156">
        <v>1</v>
      </c>
      <c r="M87" s="158"/>
      <c r="N87" s="156">
        <v>1</v>
      </c>
      <c r="O87" s="157"/>
      <c r="P87" s="157">
        <v>1</v>
      </c>
      <c r="Q87" s="73"/>
      <c r="R87" s="157">
        <v>1</v>
      </c>
      <c r="S87" s="73"/>
      <c r="T87" s="157">
        <v>1</v>
      </c>
      <c r="U87" s="73"/>
      <c r="V87" s="326">
        <v>1</v>
      </c>
      <c r="W87" s="73"/>
      <c r="X87" s="326">
        <v>1</v>
      </c>
      <c r="Y87" s="73"/>
      <c r="Z87" s="326">
        <v>1</v>
      </c>
      <c r="AA87" s="326">
        <v>1</v>
      </c>
      <c r="AB87" s="326">
        <v>1</v>
      </c>
    </row>
    <row r="88" spans="1:28" x14ac:dyDescent="0.3">
      <c r="A88" s="159" t="s">
        <v>62</v>
      </c>
      <c r="C88" s="69">
        <f>SUM(C85:C86)*C87</f>
        <v>841.31665889999999</v>
      </c>
      <c r="E88" s="69">
        <f>SUM(E85:E86)*E87</f>
        <v>925.32067010000003</v>
      </c>
      <c r="G88" s="69">
        <f t="shared" ref="G88:I88" si="49">SUM(G85:G86)*G87</f>
        <v>888.3152139</v>
      </c>
      <c r="I88" s="69">
        <f t="shared" si="49"/>
        <v>1002.3308361092717</v>
      </c>
      <c r="J88" s="70"/>
      <c r="K88" s="71"/>
      <c r="L88" s="69">
        <v>1190</v>
      </c>
      <c r="M88" s="72"/>
      <c r="N88" s="69">
        <f t="shared" ref="N88" si="50">SUM(N85:N86)*N87</f>
        <v>1131</v>
      </c>
      <c r="O88" s="70"/>
      <c r="P88" s="70">
        <f t="shared" ref="P88:AA88" si="51">SUM(P85:P86)*P87</f>
        <v>1137.998</v>
      </c>
      <c r="Q88" s="73"/>
      <c r="R88" s="70">
        <f t="shared" ref="R88" si="52">SUM(R85:R86)*R87</f>
        <v>1221</v>
      </c>
      <c r="S88" s="73"/>
      <c r="T88" s="70">
        <f t="shared" si="51"/>
        <v>1432</v>
      </c>
      <c r="U88" s="73"/>
      <c r="V88" s="313">
        <f t="shared" si="51"/>
        <v>1432</v>
      </c>
      <c r="W88" s="73"/>
      <c r="X88" s="313">
        <f t="shared" si="51"/>
        <v>1432</v>
      </c>
      <c r="Y88" s="73"/>
      <c r="Z88" s="313">
        <f t="shared" si="51"/>
        <v>1432</v>
      </c>
      <c r="AA88" s="313">
        <f t="shared" si="51"/>
        <v>1432</v>
      </c>
      <c r="AB88" s="313">
        <f>SUM(AB85:AB86)*AB87</f>
        <v>1432</v>
      </c>
    </row>
    <row r="89" spans="1:28" x14ac:dyDescent="0.3">
      <c r="A89" s="56" t="s">
        <v>55</v>
      </c>
      <c r="C89" s="96">
        <v>1</v>
      </c>
      <c r="E89" s="96">
        <v>1</v>
      </c>
      <c r="G89" s="96">
        <v>1</v>
      </c>
      <c r="I89" s="96">
        <v>1</v>
      </c>
      <c r="J89" s="176"/>
      <c r="K89" s="81"/>
      <c r="L89" s="96">
        <v>1</v>
      </c>
      <c r="M89" s="161"/>
      <c r="N89" s="96">
        <v>1</v>
      </c>
      <c r="O89" s="176"/>
      <c r="P89" s="176">
        <v>1</v>
      </c>
      <c r="Q89" s="84"/>
      <c r="R89" s="176">
        <v>1</v>
      </c>
      <c r="S89" s="84"/>
      <c r="T89" s="176">
        <v>1</v>
      </c>
      <c r="U89" s="84"/>
      <c r="V89" s="327">
        <v>1</v>
      </c>
      <c r="W89" s="84"/>
      <c r="X89" s="327">
        <v>1</v>
      </c>
      <c r="Y89" s="84"/>
      <c r="Z89" s="327">
        <v>1</v>
      </c>
      <c r="AA89" s="327">
        <v>1</v>
      </c>
      <c r="AB89" s="327">
        <v>1</v>
      </c>
    </row>
    <row r="90" spans="1:28" x14ac:dyDescent="0.3">
      <c r="A90" s="56" t="s">
        <v>63</v>
      </c>
      <c r="C90" s="69">
        <f>SUM(C88*C89)</f>
        <v>841.31665889999999</v>
      </c>
      <c r="E90" s="69">
        <f>SUM(E88*E89)</f>
        <v>925.32067010000003</v>
      </c>
      <c r="G90" s="69">
        <f t="shared" ref="G90:I90" si="53">SUM(G88*G89)</f>
        <v>888.3152139</v>
      </c>
      <c r="I90" s="69">
        <f t="shared" si="53"/>
        <v>1002.3308361092717</v>
      </c>
      <c r="J90" s="70"/>
      <c r="K90" s="71"/>
      <c r="L90" s="69">
        <f t="shared" ref="L90:AA90" si="54">SUM(L88*L89)</f>
        <v>1190</v>
      </c>
      <c r="M90" s="72"/>
      <c r="N90" s="69">
        <f t="shared" si="54"/>
        <v>1131</v>
      </c>
      <c r="O90" s="70"/>
      <c r="P90" s="70">
        <f t="shared" si="54"/>
        <v>1137.998</v>
      </c>
      <c r="Q90" s="73"/>
      <c r="R90" s="70">
        <f t="shared" ref="R90" si="55">SUM(R88*R89)</f>
        <v>1221</v>
      </c>
      <c r="S90" s="73"/>
      <c r="T90" s="70">
        <f t="shared" si="54"/>
        <v>1432</v>
      </c>
      <c r="U90" s="73"/>
      <c r="V90" s="313">
        <f t="shared" si="54"/>
        <v>1432</v>
      </c>
      <c r="W90" s="73"/>
      <c r="X90" s="313">
        <f t="shared" si="54"/>
        <v>1432</v>
      </c>
      <c r="Y90" s="73"/>
      <c r="Z90" s="313">
        <f t="shared" si="54"/>
        <v>1432</v>
      </c>
      <c r="AA90" s="313">
        <f t="shared" si="54"/>
        <v>1432</v>
      </c>
      <c r="AB90" s="313">
        <f>SUM(AB88*AB89)</f>
        <v>1432</v>
      </c>
    </row>
    <row r="91" spans="1:28" x14ac:dyDescent="0.3">
      <c r="A91" s="56" t="s">
        <v>77</v>
      </c>
      <c r="C91" s="69">
        <v>0</v>
      </c>
      <c r="E91" s="69">
        <v>0</v>
      </c>
      <c r="G91" s="69">
        <v>0</v>
      </c>
      <c r="I91" s="69">
        <v>0</v>
      </c>
      <c r="J91" s="70"/>
      <c r="K91" s="71"/>
      <c r="L91" s="69">
        <v>0</v>
      </c>
      <c r="M91" s="72"/>
      <c r="N91" s="69">
        <v>0</v>
      </c>
      <c r="O91" s="70"/>
      <c r="P91" s="70">
        <v>0</v>
      </c>
      <c r="Q91" s="73"/>
      <c r="R91" s="70">
        <v>0</v>
      </c>
      <c r="S91" s="73"/>
      <c r="T91" s="70">
        <v>0</v>
      </c>
      <c r="U91" s="73"/>
      <c r="V91" s="313">
        <v>0</v>
      </c>
      <c r="W91" s="73"/>
      <c r="X91" s="313">
        <v>0</v>
      </c>
      <c r="Y91" s="73"/>
      <c r="Z91" s="313">
        <v>0</v>
      </c>
      <c r="AA91" s="313">
        <v>0</v>
      </c>
      <c r="AB91" s="313">
        <v>0</v>
      </c>
    </row>
    <row r="92" spans="1:28" x14ac:dyDescent="0.3">
      <c r="A92" s="56" t="s">
        <v>65</v>
      </c>
      <c r="C92" s="99">
        <f>SUM(C90:C91)</f>
        <v>841.31665889999999</v>
      </c>
      <c r="E92" s="99">
        <f>SUM(E90:E91)</f>
        <v>925.32067010000003</v>
      </c>
      <c r="G92" s="99">
        <f t="shared" ref="G92:I92" si="56">SUM(G90:G91)</f>
        <v>888.3152139</v>
      </c>
      <c r="I92" s="99">
        <f t="shared" si="56"/>
        <v>1002.3308361092717</v>
      </c>
      <c r="J92" s="100"/>
      <c r="K92" s="101"/>
      <c r="L92" s="99">
        <f t="shared" ref="L92:AA92" si="57">SUM(L90:L91)</f>
        <v>1190</v>
      </c>
      <c r="M92" s="111"/>
      <c r="N92" s="99">
        <f t="shared" si="57"/>
        <v>1131</v>
      </c>
      <c r="O92" s="100"/>
      <c r="P92" s="100">
        <f t="shared" si="57"/>
        <v>1137.998</v>
      </c>
      <c r="Q92" s="177"/>
      <c r="R92" s="100">
        <f t="shared" ref="R92" si="58">SUM(R90:R91)</f>
        <v>1221</v>
      </c>
      <c r="S92" s="177"/>
      <c r="T92" s="100">
        <f t="shared" si="57"/>
        <v>1432</v>
      </c>
      <c r="U92" s="177"/>
      <c r="V92" s="317">
        <f t="shared" si="57"/>
        <v>1432</v>
      </c>
      <c r="W92" s="177"/>
      <c r="X92" s="317">
        <f t="shared" si="57"/>
        <v>1432</v>
      </c>
      <c r="Y92" s="177"/>
      <c r="Z92" s="317">
        <f t="shared" si="57"/>
        <v>1432</v>
      </c>
      <c r="AA92" s="317">
        <f t="shared" si="57"/>
        <v>1432</v>
      </c>
      <c r="AB92" s="317">
        <f>SUM(AB90:AB91)</f>
        <v>1432</v>
      </c>
    </row>
    <row r="93" spans="1:28" x14ac:dyDescent="0.3">
      <c r="A93" s="56" t="s">
        <v>44</v>
      </c>
      <c r="B93" s="168"/>
      <c r="C93" s="105">
        <v>9.7459999999999995E-3</v>
      </c>
      <c r="D93" s="138">
        <f>SUM(E93-C93)/E93</f>
        <v>-4.425158041358622E-2</v>
      </c>
      <c r="E93" s="105">
        <v>9.3329999999999993E-3</v>
      </c>
      <c r="F93" s="138">
        <f>SUM(G93-E93)/G93</f>
        <v>-2.4704618689579713E-3</v>
      </c>
      <c r="G93" s="105">
        <v>9.3100000000000006E-3</v>
      </c>
      <c r="H93" s="106">
        <f>SUM(I93-G93)/G93</f>
        <v>-1.5450106807006719E-3</v>
      </c>
      <c r="I93" s="105">
        <f>9314.17/1001996</f>
        <v>9.2956159505626773E-3</v>
      </c>
      <c r="J93" s="137"/>
      <c r="K93" s="108">
        <f>SUM(L93-I93)/I93</f>
        <v>2.8979687937840962E-2</v>
      </c>
      <c r="L93" s="105">
        <v>9.5650000000000006E-3</v>
      </c>
      <c r="M93" s="106">
        <f>SUM((N93-L93)/L93)</f>
        <v>-3.2263460533194024E-2</v>
      </c>
      <c r="N93" s="105">
        <v>9.2563999999999997E-3</v>
      </c>
      <c r="O93" s="168">
        <f>SUM(P95-N95)/N95</f>
        <v>4.0282402070482212E-3</v>
      </c>
      <c r="P93" s="293">
        <f>10511.16/1137998</f>
        <v>9.2365364438250323E-3</v>
      </c>
      <c r="Q93" s="294">
        <f>SUM((R93-P93)/P93)</f>
        <v>-1.8816592966751575E-3</v>
      </c>
      <c r="R93" s="293">
        <f>11256.59/1221000</f>
        <v>9.2191564291564301E-3</v>
      </c>
      <c r="S93" s="294">
        <f>SUM((T93-R93)/R93)</f>
        <v>-2.2718064081654575E-3</v>
      </c>
      <c r="T93" s="293">
        <f>13.17184/T92</f>
        <v>9.1982122905027927E-3</v>
      </c>
      <c r="U93" s="305">
        <f>$U$30</f>
        <v>0.01</v>
      </c>
      <c r="V93" s="318">
        <f>SUM(T93*(1+U93))</f>
        <v>9.29019441340782E-3</v>
      </c>
      <c r="W93" s="305">
        <f>$W$30</f>
        <v>1.4999999999999999E-2</v>
      </c>
      <c r="X93" s="318">
        <f>SUM(V93*(1+W93))</f>
        <v>9.4295473296089356E-3</v>
      </c>
      <c r="Y93" s="305">
        <f>$Y$30</f>
        <v>0.02</v>
      </c>
      <c r="Z93" s="318">
        <f>SUM(X93*(1+Y93))</f>
        <v>9.6181382762011141E-3</v>
      </c>
      <c r="AA93" s="318">
        <f>SUM(Z93*(1+Y93))</f>
        <v>9.8105010417251365E-3</v>
      </c>
      <c r="AB93" s="318">
        <f>SUM(AA93*(1+Y93))</f>
        <v>1.0006711062559639E-2</v>
      </c>
    </row>
    <row r="94" spans="1:28" x14ac:dyDescent="0.3">
      <c r="A94" s="56"/>
      <c r="C94" s="110"/>
      <c r="E94" s="110"/>
      <c r="G94" s="110"/>
      <c r="I94" s="110"/>
      <c r="J94" s="139"/>
      <c r="K94" s="71"/>
      <c r="L94" s="110"/>
      <c r="M94" s="111"/>
      <c r="N94" s="110"/>
      <c r="O94" s="139"/>
      <c r="P94" s="139"/>
      <c r="Q94" s="73"/>
      <c r="R94" s="139"/>
      <c r="S94" s="73"/>
      <c r="T94" s="139"/>
      <c r="U94" s="73"/>
      <c r="V94" s="319"/>
      <c r="W94" s="73"/>
      <c r="X94" s="319"/>
      <c r="Y94" s="73"/>
      <c r="Z94" s="319"/>
      <c r="AA94" s="319"/>
      <c r="AB94" s="319"/>
    </row>
    <row r="95" spans="1:28" x14ac:dyDescent="0.3">
      <c r="A95" s="52" t="s">
        <v>45</v>
      </c>
      <c r="C95" s="178">
        <f>SUM(C92*C93)</f>
        <v>8.1994721576394003</v>
      </c>
      <c r="E95" s="178">
        <f>SUM(E92*E93)</f>
        <v>8.6360178140432993</v>
      </c>
      <c r="G95" s="178">
        <f t="shared" ref="G95:I95" si="59">SUM(G92*G93)</f>
        <v>8.2702146414089999</v>
      </c>
      <c r="I95" s="178">
        <f t="shared" si="59"/>
        <v>9.3172825078781703</v>
      </c>
      <c r="J95" s="179"/>
      <c r="K95" s="180"/>
      <c r="L95" s="178">
        <f t="shared" ref="L95:AA95" si="60">SUM(L92*L93)</f>
        <v>11.382350000000001</v>
      </c>
      <c r="M95" s="181"/>
      <c r="N95" s="182">
        <f t="shared" si="60"/>
        <v>10.468988399999999</v>
      </c>
      <c r="O95" s="183"/>
      <c r="P95" s="183">
        <f t="shared" si="60"/>
        <v>10.51116</v>
      </c>
      <c r="Q95" s="55"/>
      <c r="R95" s="183">
        <f t="shared" ref="R95" si="61">SUM(R92*R93)</f>
        <v>11.256590000000001</v>
      </c>
      <c r="S95" s="55"/>
      <c r="T95" s="183">
        <f>SUM(T92*T93)</f>
        <v>13.17184</v>
      </c>
      <c r="U95" s="55"/>
      <c r="V95" s="328">
        <f t="shared" si="60"/>
        <v>13.303558399999998</v>
      </c>
      <c r="W95" s="55"/>
      <c r="X95" s="328">
        <f t="shared" si="60"/>
        <v>13.503111775999995</v>
      </c>
      <c r="Y95" s="55"/>
      <c r="Z95" s="328">
        <f t="shared" si="60"/>
        <v>13.773174011519995</v>
      </c>
      <c r="AA95" s="328">
        <f t="shared" si="60"/>
        <v>14.048637491750396</v>
      </c>
      <c r="AB95" s="328">
        <f>SUM(AB92*AB93)</f>
        <v>14.329610241585403</v>
      </c>
    </row>
    <row r="96" spans="1:28" x14ac:dyDescent="0.3">
      <c r="A96" s="170"/>
      <c r="C96" s="184"/>
      <c r="E96" s="171"/>
      <c r="I96" s="172"/>
      <c r="J96" s="172"/>
      <c r="K96" s="172"/>
      <c r="L96" s="172"/>
      <c r="M96" s="171"/>
      <c r="N96" s="171"/>
      <c r="O96" s="171"/>
      <c r="P96" s="171"/>
      <c r="Q96" s="172"/>
      <c r="R96" s="171"/>
      <c r="S96" s="172"/>
      <c r="T96" s="171"/>
      <c r="U96" s="172"/>
      <c r="V96" s="171"/>
      <c r="W96" s="172"/>
      <c r="X96" s="171"/>
      <c r="Y96" s="172"/>
      <c r="Z96" s="171"/>
      <c r="AA96" s="171"/>
      <c r="AB96" s="171"/>
    </row>
    <row r="97" spans="1:28" x14ac:dyDescent="0.3">
      <c r="A97" s="185" t="s">
        <v>66</v>
      </c>
      <c r="C97" s="186" t="s">
        <v>67</v>
      </c>
      <c r="E97" s="186" t="s">
        <v>68</v>
      </c>
      <c r="G97" s="186" t="s">
        <v>69</v>
      </c>
      <c r="I97" s="186" t="s">
        <v>70</v>
      </c>
      <c r="J97" s="187"/>
      <c r="K97" s="188"/>
      <c r="L97" s="186" t="s">
        <v>71</v>
      </c>
      <c r="M97" s="189"/>
      <c r="N97" s="186" t="s">
        <v>72</v>
      </c>
      <c r="O97" s="120"/>
      <c r="P97" s="187" t="s">
        <v>73</v>
      </c>
      <c r="Q97" s="174"/>
      <c r="R97" s="187" t="s">
        <v>133</v>
      </c>
      <c r="S97" s="174"/>
      <c r="T97" s="120" t="s">
        <v>150</v>
      </c>
      <c r="U97" s="174"/>
      <c r="V97" s="301" t="s">
        <v>74</v>
      </c>
      <c r="W97" s="174"/>
      <c r="X97" s="301" t="s">
        <v>136</v>
      </c>
      <c r="Y97" s="174"/>
      <c r="Z97" s="301" t="s">
        <v>137</v>
      </c>
      <c r="AA97" s="301" t="s">
        <v>138</v>
      </c>
      <c r="AB97" s="301" t="str">
        <f>$AB$10</f>
        <v>2023 Estimate</v>
      </c>
    </row>
    <row r="98" spans="1:28" x14ac:dyDescent="0.3">
      <c r="A98" s="190"/>
      <c r="C98" s="45" t="s">
        <v>78</v>
      </c>
      <c r="E98" s="45" t="s">
        <v>78</v>
      </c>
      <c r="G98" s="45" t="s">
        <v>78</v>
      </c>
      <c r="I98" s="191" t="s">
        <v>78</v>
      </c>
      <c r="J98" s="146"/>
      <c r="K98" s="172"/>
      <c r="L98" s="191" t="s">
        <v>78</v>
      </c>
      <c r="M98" s="42"/>
      <c r="N98" s="45" t="s">
        <v>78</v>
      </c>
      <c r="O98" s="46"/>
      <c r="P98" s="42" t="s">
        <v>78</v>
      </c>
      <c r="Q98" s="47"/>
      <c r="R98" s="42" t="s">
        <v>78</v>
      </c>
      <c r="S98" s="47"/>
      <c r="T98" s="42" t="s">
        <v>78</v>
      </c>
      <c r="U98" s="47"/>
      <c r="V98" s="308" t="s">
        <v>78</v>
      </c>
      <c r="W98" s="47"/>
      <c r="X98" s="308" t="s">
        <v>78</v>
      </c>
      <c r="Y98" s="47"/>
      <c r="Z98" s="308" t="s">
        <v>78</v>
      </c>
      <c r="AA98" s="308" t="s">
        <v>78</v>
      </c>
      <c r="AB98" s="308" t="s">
        <v>78</v>
      </c>
    </row>
    <row r="99" spans="1:28" x14ac:dyDescent="0.3">
      <c r="A99" s="190"/>
      <c r="C99" s="192"/>
      <c r="E99" s="45"/>
      <c r="G99" s="45"/>
      <c r="I99" s="45"/>
      <c r="J99" s="146"/>
      <c r="K99" s="172"/>
      <c r="L99" s="45"/>
      <c r="M99" s="42"/>
      <c r="N99" s="45"/>
      <c r="O99" s="46"/>
      <c r="P99" s="42"/>
      <c r="Q99" s="47"/>
      <c r="R99" s="42"/>
      <c r="S99" s="47"/>
      <c r="T99" s="42"/>
      <c r="U99" s="47"/>
      <c r="V99" s="308"/>
      <c r="W99" s="47"/>
      <c r="X99" s="308"/>
      <c r="Y99" s="47"/>
      <c r="Z99" s="308"/>
      <c r="AA99" s="308"/>
      <c r="AB99" s="308"/>
    </row>
    <row r="100" spans="1:28" x14ac:dyDescent="0.3">
      <c r="A100" s="190"/>
      <c r="C100" s="192"/>
      <c r="E100" s="45"/>
      <c r="G100" s="45"/>
      <c r="I100" s="45"/>
      <c r="J100" s="146"/>
      <c r="K100" s="172"/>
      <c r="L100" s="45"/>
      <c r="M100" s="42"/>
      <c r="N100" s="45"/>
      <c r="O100" s="46"/>
      <c r="P100" s="46"/>
      <c r="Q100" s="47"/>
      <c r="R100" s="46"/>
      <c r="S100" s="47"/>
      <c r="T100" s="46"/>
      <c r="U100" s="47"/>
      <c r="V100" s="308"/>
      <c r="W100" s="47"/>
      <c r="X100" s="308"/>
      <c r="Y100" s="47"/>
      <c r="Z100" s="308"/>
      <c r="AA100" s="308"/>
      <c r="AB100" s="308"/>
    </row>
    <row r="101" spans="1:28" x14ac:dyDescent="0.3">
      <c r="A101" s="119" t="s">
        <v>42</v>
      </c>
      <c r="C101" s="193">
        <v>104359</v>
      </c>
      <c r="E101" s="193">
        <v>115700</v>
      </c>
      <c r="G101" s="193">
        <v>110212</v>
      </c>
      <c r="I101" s="193">
        <v>127298</v>
      </c>
      <c r="J101" s="194"/>
      <c r="K101" s="195"/>
      <c r="L101" s="193">
        <v>151210</v>
      </c>
      <c r="M101" s="196"/>
      <c r="N101" s="193">
        <v>151669</v>
      </c>
      <c r="O101" s="197"/>
      <c r="P101" s="197">
        <v>152662</v>
      </c>
      <c r="Q101" s="175"/>
      <c r="R101" s="197">
        <v>172179</v>
      </c>
      <c r="S101" s="175"/>
      <c r="T101" s="197">
        <v>202468</v>
      </c>
      <c r="U101" s="175"/>
      <c r="V101" s="329">
        <f>SUM(T101:T103)</f>
        <v>202468</v>
      </c>
      <c r="W101" s="175"/>
      <c r="X101" s="329">
        <f>SUM(V101:V103)</f>
        <v>202468</v>
      </c>
      <c r="Y101" s="175"/>
      <c r="Z101" s="329">
        <f>SUM(X101:X103)</f>
        <v>202468</v>
      </c>
      <c r="AA101" s="329">
        <f t="shared" ref="AA101" si="62">SUM(Z101:Z103)</f>
        <v>202468</v>
      </c>
      <c r="AB101" s="329">
        <f>SUM(AA101:AA103)</f>
        <v>202468</v>
      </c>
    </row>
    <row r="102" spans="1:28" x14ac:dyDescent="0.3">
      <c r="A102" s="119" t="s">
        <v>32</v>
      </c>
      <c r="C102" s="69">
        <v>0</v>
      </c>
      <c r="E102" s="69"/>
      <c r="G102" s="69"/>
      <c r="I102" s="69"/>
      <c r="J102" s="198"/>
      <c r="K102" s="199"/>
      <c r="L102" s="75"/>
      <c r="M102" s="72"/>
      <c r="N102" s="69"/>
      <c r="O102" s="70"/>
      <c r="P102" s="70"/>
      <c r="Q102" s="73"/>
      <c r="R102" s="70"/>
      <c r="S102" s="73"/>
      <c r="T102" s="70"/>
      <c r="U102" s="73"/>
      <c r="V102" s="313">
        <v>0</v>
      </c>
      <c r="W102" s="73"/>
      <c r="X102" s="313">
        <v>0</v>
      </c>
      <c r="Y102" s="73"/>
      <c r="Z102" s="313">
        <v>0</v>
      </c>
      <c r="AA102" s="313">
        <v>0</v>
      </c>
      <c r="AB102" s="313">
        <v>0</v>
      </c>
    </row>
    <row r="103" spans="1:28" x14ac:dyDescent="0.3">
      <c r="A103" s="119" t="s">
        <v>79</v>
      </c>
      <c r="C103" s="69"/>
      <c r="E103" s="69"/>
      <c r="G103" s="69"/>
      <c r="I103" s="69"/>
      <c r="J103" s="198"/>
      <c r="K103" s="199"/>
      <c r="L103" s="75"/>
      <c r="M103" s="72"/>
      <c r="N103" s="69"/>
      <c r="O103" s="70"/>
      <c r="P103" s="70"/>
      <c r="Q103" s="73"/>
      <c r="R103" s="70">
        <v>0</v>
      </c>
      <c r="S103" s="73"/>
      <c r="T103" s="70">
        <v>0</v>
      </c>
      <c r="U103" s="73"/>
      <c r="V103" s="313">
        <v>0</v>
      </c>
      <c r="W103" s="73"/>
      <c r="X103" s="313">
        <v>0</v>
      </c>
      <c r="Y103" s="73"/>
      <c r="Z103" s="313">
        <v>0</v>
      </c>
      <c r="AA103" s="313">
        <v>0</v>
      </c>
      <c r="AB103" s="313">
        <v>0</v>
      </c>
    </row>
    <row r="104" spans="1:28" x14ac:dyDescent="0.3">
      <c r="A104" s="119" t="s">
        <v>80</v>
      </c>
      <c r="C104" s="200"/>
      <c r="E104" s="200"/>
      <c r="G104" s="200"/>
      <c r="I104" s="200">
        <v>0</v>
      </c>
      <c r="J104" s="201"/>
      <c r="K104" s="199"/>
      <c r="L104" s="202"/>
      <c r="M104" s="203"/>
      <c r="N104" s="200"/>
      <c r="O104" s="204"/>
      <c r="P104" s="204"/>
      <c r="Q104" s="73"/>
      <c r="R104" s="204">
        <v>0</v>
      </c>
      <c r="S104" s="73"/>
      <c r="T104" s="204">
        <v>0</v>
      </c>
      <c r="U104" s="73"/>
      <c r="V104" s="330">
        <v>0</v>
      </c>
      <c r="W104" s="73"/>
      <c r="X104" s="330">
        <v>0</v>
      </c>
      <c r="Y104" s="73"/>
      <c r="Z104" s="330">
        <v>0</v>
      </c>
      <c r="AA104" s="330">
        <v>0</v>
      </c>
      <c r="AB104" s="330">
        <v>0</v>
      </c>
    </row>
    <row r="105" spans="1:28" x14ac:dyDescent="0.3">
      <c r="A105" s="119" t="s">
        <v>38</v>
      </c>
      <c r="C105" s="205" t="s">
        <v>81</v>
      </c>
      <c r="E105" s="205" t="s">
        <v>81</v>
      </c>
      <c r="G105" s="205" t="s">
        <v>81</v>
      </c>
      <c r="I105" s="205" t="s">
        <v>81</v>
      </c>
      <c r="J105" s="206"/>
      <c r="K105" s="199"/>
      <c r="L105" s="207" t="s">
        <v>81</v>
      </c>
      <c r="M105" s="203"/>
      <c r="N105" s="205" t="s">
        <v>81</v>
      </c>
      <c r="O105" s="208"/>
      <c r="P105" s="208" t="s">
        <v>81</v>
      </c>
      <c r="Q105" s="174"/>
      <c r="R105" s="208" t="s">
        <v>81</v>
      </c>
      <c r="S105" s="174"/>
      <c r="T105" s="208" t="s">
        <v>81</v>
      </c>
      <c r="U105" s="174"/>
      <c r="V105" s="331" t="s">
        <v>81</v>
      </c>
      <c r="W105" s="174"/>
      <c r="X105" s="331" t="s">
        <v>81</v>
      </c>
      <c r="Y105" s="174"/>
      <c r="Z105" s="331" t="s">
        <v>81</v>
      </c>
      <c r="AA105" s="331" t="s">
        <v>81</v>
      </c>
      <c r="AB105" s="331" t="s">
        <v>81</v>
      </c>
    </row>
    <row r="106" spans="1:28" x14ac:dyDescent="0.3">
      <c r="A106" s="119" t="s">
        <v>82</v>
      </c>
      <c r="C106" s="209">
        <v>0</v>
      </c>
      <c r="E106" s="209">
        <v>0</v>
      </c>
      <c r="G106" s="209">
        <v>0</v>
      </c>
      <c r="I106" s="209">
        <v>0</v>
      </c>
      <c r="J106" s="210"/>
      <c r="K106" s="199"/>
      <c r="L106" s="211">
        <v>0</v>
      </c>
      <c r="M106" s="203"/>
      <c r="N106" s="209">
        <v>0</v>
      </c>
      <c r="O106" s="212"/>
      <c r="P106" s="212">
        <v>0</v>
      </c>
      <c r="Q106" s="152"/>
      <c r="R106" s="212">
        <v>0</v>
      </c>
      <c r="S106" s="152"/>
      <c r="T106" s="212">
        <v>0</v>
      </c>
      <c r="U106" s="152"/>
      <c r="V106" s="332">
        <v>0</v>
      </c>
      <c r="W106" s="152"/>
      <c r="X106" s="332">
        <v>0</v>
      </c>
      <c r="Y106" s="152"/>
      <c r="Z106" s="332">
        <v>0</v>
      </c>
      <c r="AA106" s="332">
        <v>0</v>
      </c>
      <c r="AB106" s="332">
        <v>0</v>
      </c>
    </row>
    <row r="107" spans="1:28" x14ac:dyDescent="0.3">
      <c r="A107" s="140" t="s">
        <v>83</v>
      </c>
      <c r="C107" s="213"/>
      <c r="E107" s="213"/>
      <c r="G107" s="213"/>
      <c r="I107" s="213"/>
      <c r="J107" s="214"/>
      <c r="K107" s="199"/>
      <c r="L107" s="215"/>
      <c r="M107" s="203"/>
      <c r="N107" s="213"/>
      <c r="O107" s="216"/>
      <c r="P107" s="216"/>
      <c r="Q107" s="152"/>
      <c r="R107" s="216"/>
      <c r="S107" s="152"/>
      <c r="T107" s="216"/>
      <c r="U107" s="152"/>
      <c r="V107" s="333"/>
      <c r="W107" s="152"/>
      <c r="X107" s="333"/>
      <c r="Y107" s="152"/>
      <c r="Z107" s="333"/>
      <c r="AA107" s="333"/>
      <c r="AB107" s="333"/>
    </row>
    <row r="108" spans="1:28" x14ac:dyDescent="0.3">
      <c r="A108" s="119" t="s">
        <v>84</v>
      </c>
      <c r="B108" s="168"/>
      <c r="C108" s="105">
        <f>1842880.17/104359000</f>
        <v>1.7659043973207868E-2</v>
      </c>
      <c r="D108" s="106">
        <f>SUM(E108-C108)/E108</f>
        <v>-6.6797886391917281E-3</v>
      </c>
      <c r="E108" s="105">
        <f>+(2013367.9)/(114775000)</f>
        <v>1.7541868002613807E-2</v>
      </c>
      <c r="F108" s="106">
        <f>SUM(G108-E108)/G108</f>
        <v>-7.516397829751751E-3</v>
      </c>
      <c r="G108" s="105">
        <v>1.7410999999999999E-2</v>
      </c>
      <c r="H108" s="106">
        <f>SUM(I108-G108)/G108</f>
        <v>-1.2155474878995879E-2</v>
      </c>
      <c r="I108" s="105">
        <f>2189444.26/127298000</f>
        <v>1.7199361026881802E-2</v>
      </c>
      <c r="J108" s="137"/>
      <c r="K108" s="106">
        <f>SUM(L108-I108)/I108</f>
        <v>-2.8796838525869704E-2</v>
      </c>
      <c r="L108" s="105">
        <f>2525823/151210000</f>
        <v>1.670407380464255E-2</v>
      </c>
      <c r="M108" s="108">
        <f>SUM((N108-L108)/L108)</f>
        <v>6.8625546604017693E-2</v>
      </c>
      <c r="N108" s="104">
        <v>1.7850399999999999E-2</v>
      </c>
      <c r="O108" s="217">
        <f>SUM(P111-N111)/N111</f>
        <v>-7.1049071208625469E-2</v>
      </c>
      <c r="P108" s="293">
        <f>2514997.45/152662000</f>
        <v>1.6474286004375682E-2</v>
      </c>
      <c r="Q108" s="294">
        <f>SUM((R108-P108)/P108)</f>
        <v>4.2175480238511809E-2</v>
      </c>
      <c r="R108" s="293">
        <f>2956157.94/172179000</f>
        <v>1.716909692819682E-2</v>
      </c>
      <c r="S108" s="294">
        <f>SUM((T108-R108)/R108)</f>
        <v>8.8700293481808298E-4</v>
      </c>
      <c r="T108" s="293">
        <f>3479.27611/T101</f>
        <v>1.7184325967560306E-2</v>
      </c>
      <c r="U108" s="305">
        <f>$U$30</f>
        <v>0.01</v>
      </c>
      <c r="V108" s="318">
        <f>SUM(T108*(1+U108))</f>
        <v>1.7356169227235908E-2</v>
      </c>
      <c r="W108" s="305">
        <f>$W$30</f>
        <v>1.4999999999999999E-2</v>
      </c>
      <c r="X108" s="318">
        <f>SUM(V108*(1+W108))</f>
        <v>1.7616511765644445E-2</v>
      </c>
      <c r="Y108" s="305">
        <f>$Y$30</f>
        <v>0.02</v>
      </c>
      <c r="Z108" s="318">
        <f>SUM(X108*(1+Y108))</f>
        <v>1.7968842000957334E-2</v>
      </c>
      <c r="AA108" s="318">
        <f>SUM(Z108*(1+Y108))</f>
        <v>1.832821884097648E-2</v>
      </c>
      <c r="AB108" s="318">
        <f>SUM(AA108*(1+Y108))</f>
        <v>1.869478321779601E-2</v>
      </c>
    </row>
    <row r="109" spans="1:28" x14ac:dyDescent="0.3">
      <c r="A109" s="119" t="s">
        <v>85</v>
      </c>
      <c r="C109" s="218">
        <v>1</v>
      </c>
      <c r="E109" s="218">
        <v>1</v>
      </c>
      <c r="G109" s="218">
        <v>1</v>
      </c>
      <c r="I109" s="218">
        <v>1</v>
      </c>
      <c r="J109" s="219"/>
      <c r="K109" s="195"/>
      <c r="L109" s="218">
        <v>1</v>
      </c>
      <c r="M109" s="203"/>
      <c r="N109" s="218">
        <v>1</v>
      </c>
      <c r="O109" s="220"/>
      <c r="P109" s="220">
        <v>1</v>
      </c>
      <c r="Q109" s="152"/>
      <c r="R109" s="220">
        <v>1</v>
      </c>
      <c r="S109" s="152"/>
      <c r="T109" s="220">
        <v>1</v>
      </c>
      <c r="U109" s="152"/>
      <c r="V109" s="334">
        <v>1</v>
      </c>
      <c r="W109" s="152"/>
      <c r="X109" s="334">
        <v>1</v>
      </c>
      <c r="Y109" s="152"/>
      <c r="Z109" s="334">
        <v>1</v>
      </c>
      <c r="AA109" s="334">
        <v>1</v>
      </c>
      <c r="AB109" s="334">
        <v>1</v>
      </c>
    </row>
    <row r="110" spans="1:28" x14ac:dyDescent="0.3">
      <c r="A110" s="119" t="s">
        <v>86</v>
      </c>
      <c r="C110" s="221"/>
      <c r="E110" s="221"/>
      <c r="G110" s="221"/>
      <c r="I110" s="221"/>
      <c r="J110" s="219"/>
      <c r="K110" s="195"/>
      <c r="L110" s="221"/>
      <c r="M110" s="203"/>
      <c r="N110" s="221"/>
      <c r="O110" s="222"/>
      <c r="P110" s="222"/>
      <c r="Q110" s="55"/>
      <c r="R110" s="222"/>
      <c r="S110" s="55"/>
      <c r="T110" s="222"/>
      <c r="U110" s="55"/>
      <c r="V110" s="335"/>
      <c r="W110" s="55"/>
      <c r="X110" s="335"/>
      <c r="Y110" s="55"/>
      <c r="Z110" s="335"/>
      <c r="AA110" s="335"/>
      <c r="AB110" s="335"/>
    </row>
    <row r="111" spans="1:28" x14ac:dyDescent="0.3">
      <c r="A111" s="140"/>
      <c r="C111" s="178">
        <f>SUM(C101:C104)*C108*C109</f>
        <v>1842.8801699999999</v>
      </c>
      <c r="E111" s="178">
        <f>SUM(E101:E105)*E108*E109</f>
        <v>2029.5941279024175</v>
      </c>
      <c r="G111" s="178">
        <f t="shared" ref="G111:I111" si="63">SUM(G101:G105)*G108*G109</f>
        <v>1918.901132</v>
      </c>
      <c r="I111" s="178">
        <f t="shared" si="63"/>
        <v>2189.4442599999998</v>
      </c>
      <c r="J111" s="223"/>
      <c r="K111" s="224"/>
      <c r="L111" s="178">
        <f>SUM(L101*L108)</f>
        <v>2525.8229999999999</v>
      </c>
      <c r="M111" s="203"/>
      <c r="N111" s="182">
        <f t="shared" ref="N111" si="64">SUM(N101:N105)*N108*N109</f>
        <v>2707.3523175999999</v>
      </c>
      <c r="O111" s="183"/>
      <c r="P111" s="179">
        <f t="shared" ref="P111" si="65">SUM(P101:P105)*P108*P109</f>
        <v>2514.9974500000003</v>
      </c>
      <c r="Q111" s="55"/>
      <c r="R111" s="179">
        <f>SUM(R101:R105)*R108*R109</f>
        <v>2956.1579400000001</v>
      </c>
      <c r="S111" s="55"/>
      <c r="T111" s="179">
        <f>SUM(T101:T105)*T108*T109</f>
        <v>3479.2761100000002</v>
      </c>
      <c r="U111" s="55"/>
      <c r="V111" s="336">
        <f t="shared" ref="V111:Z111" si="66">SUM(V101:V105)*V108*V109</f>
        <v>3514.0688710999998</v>
      </c>
      <c r="W111" s="55"/>
      <c r="X111" s="336">
        <f t="shared" si="66"/>
        <v>3566.7799041664994</v>
      </c>
      <c r="Y111" s="55"/>
      <c r="Z111" s="336">
        <f t="shared" si="66"/>
        <v>3638.1155022498292</v>
      </c>
      <c r="AA111" s="336">
        <f>SUM(AA101:AA105)*AA108*AA109</f>
        <v>3710.8778122948261</v>
      </c>
      <c r="AB111" s="336">
        <f>SUM(AB101:AB105)*AB108*AB109</f>
        <v>3785.0953685407226</v>
      </c>
    </row>
    <row r="112" spans="1:28" x14ac:dyDescent="0.3">
      <c r="A112" s="142"/>
      <c r="C112" s="184"/>
      <c r="E112" s="171"/>
      <c r="G112" s="171"/>
      <c r="H112" s="2"/>
      <c r="I112" s="171"/>
      <c r="J112" s="171"/>
      <c r="K112" s="172"/>
      <c r="L112" s="172"/>
      <c r="M112" s="203"/>
      <c r="N112" s="171"/>
      <c r="O112" s="171"/>
      <c r="P112" s="171"/>
      <c r="Q112" s="172"/>
      <c r="R112" s="171"/>
      <c r="S112" s="172"/>
      <c r="T112" s="171"/>
      <c r="U112" s="172"/>
      <c r="V112" s="171"/>
      <c r="W112" s="172"/>
      <c r="X112" s="171"/>
      <c r="Y112" s="172"/>
      <c r="Z112" s="171"/>
      <c r="AA112" s="171"/>
      <c r="AB112" s="171"/>
    </row>
    <row r="113" spans="1:28" x14ac:dyDescent="0.3">
      <c r="A113" s="170"/>
      <c r="C113" s="143"/>
      <c r="E113" s="144"/>
      <c r="G113" s="144"/>
      <c r="H113" s="2"/>
      <c r="I113" s="144"/>
      <c r="J113" s="144"/>
      <c r="K113" s="145"/>
      <c r="L113" s="144"/>
      <c r="M113" s="144"/>
      <c r="N113" s="144"/>
      <c r="O113" s="144"/>
      <c r="P113" s="144"/>
      <c r="Q113" s="145"/>
      <c r="R113" s="144"/>
      <c r="S113" s="145"/>
      <c r="T113" s="144"/>
      <c r="U113" s="145"/>
      <c r="V113" s="144"/>
      <c r="W113" s="145"/>
      <c r="X113" s="144"/>
      <c r="Y113" s="145"/>
      <c r="Z113" s="144"/>
      <c r="AA113" s="144"/>
      <c r="AB113" s="144"/>
    </row>
    <row r="114" spans="1:28" x14ac:dyDescent="0.3">
      <c r="A114" s="121" t="s">
        <v>87</v>
      </c>
      <c r="C114" s="57" t="s">
        <v>88</v>
      </c>
      <c r="E114" s="57" t="s">
        <v>20</v>
      </c>
      <c r="G114" s="57" t="s">
        <v>21</v>
      </c>
      <c r="I114" s="57" t="s">
        <v>89</v>
      </c>
      <c r="J114" s="58"/>
      <c r="K114" s="59"/>
      <c r="L114" s="57" t="s">
        <v>90</v>
      </c>
      <c r="M114" s="58"/>
      <c r="N114" s="57" t="s">
        <v>91</v>
      </c>
      <c r="O114" s="58"/>
      <c r="P114" s="120" t="s">
        <v>129</v>
      </c>
      <c r="Q114" s="59"/>
      <c r="R114" s="120" t="s">
        <v>131</v>
      </c>
      <c r="S114" s="59"/>
      <c r="T114" s="301" t="s">
        <v>25</v>
      </c>
      <c r="U114" s="59"/>
      <c r="V114" s="301" t="s">
        <v>26</v>
      </c>
      <c r="W114" s="59"/>
      <c r="X114" s="301" t="s">
        <v>27</v>
      </c>
      <c r="Y114" s="59"/>
      <c r="Z114" s="301" t="s">
        <v>28</v>
      </c>
      <c r="AA114" s="301" t="s">
        <v>135</v>
      </c>
      <c r="AB114" s="301" t="str">
        <f>$AB$10</f>
        <v>2023 Estimate</v>
      </c>
    </row>
    <row r="115" spans="1:28" x14ac:dyDescent="0.3">
      <c r="A115" s="119"/>
      <c r="C115" s="45"/>
      <c r="E115" s="61"/>
      <c r="G115" s="62"/>
      <c r="I115" s="62"/>
      <c r="J115" s="63"/>
      <c r="K115" s="64"/>
      <c r="L115" s="61"/>
      <c r="M115" s="65"/>
      <c r="N115" s="61"/>
      <c r="O115" s="65"/>
      <c r="P115" s="65"/>
      <c r="Q115" s="64"/>
      <c r="R115" s="65"/>
      <c r="S115" s="64"/>
      <c r="T115" s="65"/>
      <c r="U115" s="64"/>
      <c r="V115" s="321"/>
      <c r="W115" s="64"/>
      <c r="X115" s="321"/>
      <c r="Y115" s="64"/>
      <c r="Z115" s="321"/>
      <c r="AA115" s="321"/>
      <c r="AB115" s="321"/>
    </row>
    <row r="116" spans="1:28" x14ac:dyDescent="0.3">
      <c r="A116" s="119" t="s">
        <v>30</v>
      </c>
      <c r="C116" s="62"/>
      <c r="E116" s="61"/>
      <c r="G116" s="62"/>
      <c r="I116" s="62"/>
      <c r="J116" s="63"/>
      <c r="K116" s="64"/>
      <c r="L116" s="61"/>
      <c r="M116" s="65"/>
      <c r="N116" s="62"/>
      <c r="O116" s="63"/>
      <c r="P116" s="63"/>
      <c r="Q116" s="175"/>
      <c r="R116" s="63"/>
      <c r="S116" s="175"/>
      <c r="T116" s="63"/>
      <c r="U116" s="175"/>
      <c r="V116" s="321"/>
      <c r="W116" s="175"/>
      <c r="X116" s="321"/>
      <c r="Y116" s="175"/>
      <c r="Z116" s="321"/>
      <c r="AA116" s="321"/>
      <c r="AB116" s="321"/>
    </row>
    <row r="117" spans="1:28" x14ac:dyDescent="0.3">
      <c r="A117" s="119" t="s">
        <v>31</v>
      </c>
      <c r="C117" s="69">
        <v>365000</v>
      </c>
      <c r="E117" s="69">
        <v>370000</v>
      </c>
      <c r="G117" s="69">
        <v>400000</v>
      </c>
      <c r="I117" s="69">
        <v>435000</v>
      </c>
      <c r="J117" s="70"/>
      <c r="K117" s="71"/>
      <c r="L117" s="69">
        <v>515000</v>
      </c>
      <c r="M117" s="72"/>
      <c r="N117" s="69">
        <v>500000</v>
      </c>
      <c r="O117" s="70"/>
      <c r="P117" s="70">
        <f>SUM(N117:N119)</f>
        <v>500000</v>
      </c>
      <c r="Q117" s="73"/>
      <c r="R117" s="70">
        <v>550000</v>
      </c>
      <c r="S117" s="73"/>
      <c r="T117" s="70">
        <v>670000</v>
      </c>
      <c r="U117" s="73"/>
      <c r="V117" s="313">
        <f>SUM(T117:T119)</f>
        <v>670000</v>
      </c>
      <c r="W117" s="73"/>
      <c r="X117" s="313">
        <f>SUM(V117:V119)</f>
        <v>708440</v>
      </c>
      <c r="Y117" s="73"/>
      <c r="Z117" s="313">
        <f>SUM(X117:X119)</f>
        <v>756054</v>
      </c>
      <c r="AA117" s="313">
        <f>SUM(Z117:Z119)</f>
        <v>794805</v>
      </c>
      <c r="AB117" s="313">
        <f>SUM(AA117:AA119)</f>
        <v>833898</v>
      </c>
    </row>
    <row r="118" spans="1:28" x14ac:dyDescent="0.3">
      <c r="A118" s="119" t="s">
        <v>32</v>
      </c>
      <c r="C118" s="69"/>
      <c r="E118" s="75"/>
      <c r="G118" s="69"/>
      <c r="I118" s="69"/>
      <c r="J118" s="70"/>
      <c r="K118" s="71"/>
      <c r="L118" s="75"/>
      <c r="M118" s="72"/>
      <c r="N118" s="69"/>
      <c r="O118" s="70"/>
      <c r="P118" s="70"/>
      <c r="Q118" s="73"/>
      <c r="R118" s="70"/>
      <c r="S118" s="73"/>
      <c r="T118" s="70"/>
      <c r="U118" s="73"/>
      <c r="V118" s="154">
        <v>69017</v>
      </c>
      <c r="W118" s="73"/>
      <c r="X118" s="154">
        <v>78191</v>
      </c>
      <c r="Y118" s="73"/>
      <c r="Z118" s="154">
        <v>69328</v>
      </c>
      <c r="AA118" s="154">
        <v>69670</v>
      </c>
      <c r="AB118" s="154">
        <f>AA118</f>
        <v>69670</v>
      </c>
    </row>
    <row r="119" spans="1:28" x14ac:dyDescent="0.3">
      <c r="A119" s="119" t="s">
        <v>92</v>
      </c>
      <c r="C119" s="69"/>
      <c r="E119" s="75"/>
      <c r="G119" s="69"/>
      <c r="I119" s="69"/>
      <c r="J119" s="70"/>
      <c r="K119" s="71"/>
      <c r="L119" s="75"/>
      <c r="M119" s="72"/>
      <c r="N119" s="69"/>
      <c r="O119" s="70"/>
      <c r="P119" s="70"/>
      <c r="Q119" s="73"/>
      <c r="R119" s="70"/>
      <c r="S119" s="73"/>
      <c r="T119" s="70"/>
      <c r="U119" s="73"/>
      <c r="V119" s="154">
        <v>-30577</v>
      </c>
      <c r="W119" s="73"/>
      <c r="X119" s="154">
        <f>V119</f>
        <v>-30577</v>
      </c>
      <c r="Y119" s="73"/>
      <c r="Z119" s="154">
        <f>X119</f>
        <v>-30577</v>
      </c>
      <c r="AA119" s="154">
        <f>Z119</f>
        <v>-30577</v>
      </c>
      <c r="AB119" s="154">
        <f>AA119</f>
        <v>-30577</v>
      </c>
    </row>
    <row r="120" spans="1:28" x14ac:dyDescent="0.3">
      <c r="A120" s="56" t="s">
        <v>122</v>
      </c>
      <c r="C120" s="86">
        <v>0.94630499999999995</v>
      </c>
      <c r="E120" s="86">
        <v>0.96772369999999996</v>
      </c>
      <c r="G120" s="86">
        <f>188890268/195011082</f>
        <v>0.96861299400410483</v>
      </c>
      <c r="I120" s="86">
        <v>0.96685500000000002</v>
      </c>
      <c r="J120" s="87"/>
      <c r="K120" s="71"/>
      <c r="L120" s="86">
        <f>234774025/243990907</f>
        <v>0.96222448568544405</v>
      </c>
      <c r="M120" s="89"/>
      <c r="N120" s="86">
        <f>230552.665/238786.689</f>
        <v>0.96551724036845288</v>
      </c>
      <c r="O120" s="87"/>
      <c r="P120" s="87">
        <f>229911.818/238226.137</f>
        <v>0.96509904788490952</v>
      </c>
      <c r="Q120" s="73"/>
      <c r="R120" s="87">
        <f>246152315/261192469</f>
        <v>0.94241735201025267</v>
      </c>
      <c r="S120" s="73"/>
      <c r="T120" s="87">
        <f>306718192/329741481</f>
        <v>0.93017775946727188</v>
      </c>
      <c r="U120" s="73"/>
      <c r="V120" s="314">
        <f>SUM(T120)</f>
        <v>0.93017775946727188</v>
      </c>
      <c r="W120" s="73"/>
      <c r="X120" s="314">
        <f>SUM(V120)</f>
        <v>0.93017775946727188</v>
      </c>
      <c r="Y120" s="73"/>
      <c r="Z120" s="314">
        <f t="shared" ref="Z120:Z121" si="67">SUM(X120)</f>
        <v>0.93017775946727188</v>
      </c>
      <c r="AA120" s="314">
        <f>SUM(Z120)</f>
        <v>0.93017775946727188</v>
      </c>
      <c r="AB120" s="314">
        <f>SUM(AA120)</f>
        <v>0.93017775946727188</v>
      </c>
    </row>
    <row r="121" spans="1:28" x14ac:dyDescent="0.3">
      <c r="A121" s="56" t="s">
        <v>119</v>
      </c>
      <c r="C121" s="90">
        <v>0.471997</v>
      </c>
      <c r="E121" s="90">
        <v>0.47163899999999997</v>
      </c>
      <c r="G121" s="90">
        <f>195011082/400000000</f>
        <v>0.48752770499999998</v>
      </c>
      <c r="I121" s="90">
        <v>0.47452299999999997</v>
      </c>
      <c r="J121" s="91"/>
      <c r="K121" s="81"/>
      <c r="L121" s="90">
        <f>243990907/515000000</f>
        <v>0.4737687514563107</v>
      </c>
      <c r="M121" s="94"/>
      <c r="N121" s="90">
        <f>238786.689/N117</f>
        <v>0.47757337800000005</v>
      </c>
      <c r="O121" s="91"/>
      <c r="P121" s="91">
        <f>238226.137/P117</f>
        <v>0.47645227399999995</v>
      </c>
      <c r="Q121" s="84"/>
      <c r="R121" s="91">
        <v>0.47489500000000001</v>
      </c>
      <c r="S121" s="84"/>
      <c r="T121" s="91">
        <f>329741481/670000000</f>
        <v>0.49215146417910449</v>
      </c>
      <c r="U121" s="84"/>
      <c r="V121" s="315">
        <f>SUM(T121)</f>
        <v>0.49215146417910449</v>
      </c>
      <c r="W121" s="84"/>
      <c r="X121" s="315">
        <f>SUM(V121)</f>
        <v>0.49215146417910449</v>
      </c>
      <c r="Y121" s="84"/>
      <c r="Z121" s="315">
        <f t="shared" si="67"/>
        <v>0.49215146417910449</v>
      </c>
      <c r="AA121" s="315">
        <f>SUM(Z121)</f>
        <v>0.49215146417910449</v>
      </c>
      <c r="AB121" s="315">
        <f>SUM(AA121)</f>
        <v>0.49215146417910449</v>
      </c>
    </row>
    <row r="122" spans="1:28" x14ac:dyDescent="0.3">
      <c r="A122" s="119" t="s">
        <v>39</v>
      </c>
      <c r="C122" s="69">
        <f>SUM(C117+C118+C119)*C120*C121</f>
        <v>163028.38919602497</v>
      </c>
      <c r="E122" s="69">
        <f>SUM(E117+E118+E119)*E120*E121</f>
        <v>168874.00811339097</v>
      </c>
      <c r="G122" s="69">
        <f t="shared" ref="G122:I122" si="68">SUM(G117+G118+G119)*G120*G121</f>
        <v>188890.26799999998</v>
      </c>
      <c r="I122" s="69">
        <f t="shared" si="68"/>
        <v>199575.79679677499</v>
      </c>
      <c r="J122" s="70"/>
      <c r="K122" s="71"/>
      <c r="L122" s="69">
        <f t="shared" ref="L122:N122" si="69">SUM(L117+L118+L119)*L120*L121</f>
        <v>234774.02500000002</v>
      </c>
      <c r="M122" s="72"/>
      <c r="N122" s="69">
        <f t="shared" si="69"/>
        <v>230552.66500000001</v>
      </c>
      <c r="O122" s="70"/>
      <c r="P122" s="70">
        <f t="shared" ref="P122:Z122" si="70">SUM(P117+P118+P119)*P120*P121</f>
        <v>229911.818</v>
      </c>
      <c r="Q122" s="73"/>
      <c r="R122" s="70">
        <f t="shared" ref="R122" si="71">SUM(R117+R118+R119)*R120*R121</f>
        <v>246152.10861059991</v>
      </c>
      <c r="S122" s="73"/>
      <c r="T122" s="70">
        <f>SUM(T117+T118+T119)*T120*T121</f>
        <v>306718.19200000004</v>
      </c>
      <c r="U122" s="73"/>
      <c r="V122" s="313">
        <f>SUM(V117+V118+V119)*V120*V121</f>
        <v>324315.57603056717</v>
      </c>
      <c r="W122" s="73"/>
      <c r="X122" s="313">
        <f>SUM(X117+X118+X119)*X120*X121</f>
        <v>346112.71034980298</v>
      </c>
      <c r="Y122" s="73"/>
      <c r="Z122" s="313">
        <f t="shared" si="70"/>
        <v>363852.46655605972</v>
      </c>
      <c r="AA122" s="313">
        <f>SUM(AA117+AA118+AA119)*AA120*AA121</f>
        <v>381748.78637674032</v>
      </c>
      <c r="AB122" s="313">
        <f>SUM(AB117+AB118+AB119)*AB120*AB121</f>
        <v>399645.10619742092</v>
      </c>
    </row>
    <row r="123" spans="1:28" x14ac:dyDescent="0.3">
      <c r="A123" s="119" t="s">
        <v>60</v>
      </c>
      <c r="C123" s="69"/>
      <c r="E123" s="225"/>
      <c r="G123" s="69"/>
      <c r="I123" s="69"/>
      <c r="J123" s="70"/>
      <c r="K123" s="71"/>
      <c r="L123" s="69"/>
      <c r="M123" s="72"/>
      <c r="N123" s="69"/>
      <c r="O123" s="70"/>
      <c r="P123" s="70"/>
      <c r="Q123" s="73"/>
      <c r="R123" s="70"/>
      <c r="S123" s="73"/>
      <c r="T123" s="70"/>
      <c r="U123" s="73"/>
      <c r="V123" s="313"/>
      <c r="W123" s="73"/>
      <c r="X123" s="313"/>
      <c r="Y123" s="73"/>
      <c r="Z123" s="313"/>
      <c r="AA123" s="313"/>
      <c r="AB123" s="313"/>
    </row>
    <row r="124" spans="1:28" x14ac:dyDescent="0.3">
      <c r="A124" s="119" t="s">
        <v>41</v>
      </c>
      <c r="C124" s="69">
        <f>SUM(C122)</f>
        <v>163028.38919602497</v>
      </c>
      <c r="E124" s="69">
        <f>SUM(E122)</f>
        <v>168874.00811339097</v>
      </c>
      <c r="G124" s="69">
        <f t="shared" ref="G124:I124" si="72">SUM(G122)</f>
        <v>188890.26799999998</v>
      </c>
      <c r="I124" s="69">
        <f t="shared" si="72"/>
        <v>199575.79679677499</v>
      </c>
      <c r="J124" s="70"/>
      <c r="K124" s="71"/>
      <c r="L124" s="69">
        <f t="shared" ref="L124:AA124" si="73">SUM(L122)</f>
        <v>234774.02500000002</v>
      </c>
      <c r="M124" s="72"/>
      <c r="N124" s="69">
        <f t="shared" si="73"/>
        <v>230552.66500000001</v>
      </c>
      <c r="O124" s="70"/>
      <c r="P124" s="70">
        <f t="shared" si="73"/>
        <v>229911.818</v>
      </c>
      <c r="Q124" s="73"/>
      <c r="R124" s="70">
        <f t="shared" ref="R124" si="74">SUM(R122)</f>
        <v>246152.10861059991</v>
      </c>
      <c r="S124" s="73"/>
      <c r="T124" s="70">
        <f t="shared" si="73"/>
        <v>306718.19200000004</v>
      </c>
      <c r="U124" s="73"/>
      <c r="V124" s="313">
        <f t="shared" si="73"/>
        <v>324315.57603056717</v>
      </c>
      <c r="W124" s="73"/>
      <c r="X124" s="313">
        <f t="shared" si="73"/>
        <v>346112.71034980298</v>
      </c>
      <c r="Y124" s="73"/>
      <c r="Z124" s="313">
        <f t="shared" si="73"/>
        <v>363852.46655605972</v>
      </c>
      <c r="AA124" s="313">
        <f t="shared" si="73"/>
        <v>381748.78637674032</v>
      </c>
      <c r="AB124" s="313">
        <f>SUM(AB122)</f>
        <v>399645.10619742092</v>
      </c>
    </row>
    <row r="125" spans="1:28" x14ac:dyDescent="0.3">
      <c r="A125" s="56" t="s">
        <v>120</v>
      </c>
      <c r="C125" s="69"/>
      <c r="E125" s="69"/>
      <c r="G125" s="69"/>
      <c r="I125" s="69"/>
      <c r="J125" s="70"/>
      <c r="K125" s="71"/>
      <c r="L125" s="69"/>
      <c r="M125" s="72"/>
      <c r="N125" s="69"/>
      <c r="O125" s="70"/>
      <c r="P125" s="70">
        <v>213560.91500000001</v>
      </c>
      <c r="Q125" s="73"/>
      <c r="R125" s="70">
        <v>231762.54759900001</v>
      </c>
      <c r="S125" s="73"/>
      <c r="T125" s="70"/>
      <c r="U125" s="73"/>
      <c r="V125" s="313"/>
      <c r="W125" s="73"/>
      <c r="X125" s="313"/>
      <c r="Y125" s="73"/>
      <c r="Z125" s="313"/>
      <c r="AA125" s="313"/>
      <c r="AB125" s="313"/>
    </row>
    <row r="126" spans="1:28" x14ac:dyDescent="0.3">
      <c r="A126" s="56" t="s">
        <v>121</v>
      </c>
      <c r="B126" s="226"/>
      <c r="C126" s="227">
        <f>148020.988/163028</f>
        <v>0.90794825428760706</v>
      </c>
      <c r="E126" s="227">
        <f>SUM(E127/E124)</f>
        <v>0.90322653973832534</v>
      </c>
      <c r="G126" s="227">
        <f>173803920/188890000</f>
        <v>0.92013298745301497</v>
      </c>
      <c r="I126" s="227">
        <f>189501.264/199576</f>
        <v>0.94951930091794601</v>
      </c>
      <c r="J126" s="228"/>
      <c r="K126" s="81"/>
      <c r="L126" s="227">
        <f>223370.065/L124</f>
        <v>0.95142580189609982</v>
      </c>
      <c r="M126" s="229"/>
      <c r="N126" s="227">
        <f>216345.522/N124</f>
        <v>0.93837788428947455</v>
      </c>
      <c r="O126" s="228"/>
      <c r="P126" s="292">
        <f>P125/P124</f>
        <v>0.92888185069286</v>
      </c>
      <c r="Q126" s="230"/>
      <c r="R126" s="292">
        <f>R125/R124</f>
        <v>0.9415419957488016</v>
      </c>
      <c r="S126" s="230"/>
      <c r="T126" s="302">
        <f>R126</f>
        <v>0.9415419957488016</v>
      </c>
      <c r="U126" s="230"/>
      <c r="V126" s="337">
        <f>SUM(T126)</f>
        <v>0.9415419957488016</v>
      </c>
      <c r="W126" s="230"/>
      <c r="X126" s="337">
        <f>SUM(V126)</f>
        <v>0.9415419957488016</v>
      </c>
      <c r="Y126" s="230"/>
      <c r="Z126" s="337">
        <f>SUM(X126)</f>
        <v>0.9415419957488016</v>
      </c>
      <c r="AA126" s="337">
        <f t="shared" ref="AA126" si="75">SUM(Z126)</f>
        <v>0.9415419957488016</v>
      </c>
      <c r="AB126" s="337">
        <f>SUM(AA126)</f>
        <v>0.9415419957488016</v>
      </c>
    </row>
    <row r="127" spans="1:28" x14ac:dyDescent="0.3">
      <c r="A127" s="56" t="s">
        <v>123</v>
      </c>
      <c r="C127" s="69">
        <f>SUM(C124*C126)</f>
        <v>148021.34136985146</v>
      </c>
      <c r="E127" s="69">
        <v>152531.486</v>
      </c>
      <c r="G127" s="69">
        <f t="shared" ref="G127:I127" si="76">SUM(G124*G126)</f>
        <v>173804.16659564062</v>
      </c>
      <c r="I127" s="69">
        <f t="shared" si="76"/>
        <v>189501.07105461584</v>
      </c>
      <c r="J127" s="70"/>
      <c r="K127" s="71"/>
      <c r="L127" s="69">
        <f t="shared" ref="L127:AA127" si="77">SUM(L124*L126)</f>
        <v>223370.065</v>
      </c>
      <c r="M127" s="72"/>
      <c r="N127" s="69">
        <f t="shared" si="77"/>
        <v>216345.522</v>
      </c>
      <c r="O127" s="231"/>
      <c r="P127" s="70">
        <f t="shared" si="77"/>
        <v>213560.91500000001</v>
      </c>
      <c r="Q127" s="232"/>
      <c r="R127" s="70">
        <f>SUM(R124*R126)</f>
        <v>231762.54759900001</v>
      </c>
      <c r="S127" s="232"/>
      <c r="T127" s="70">
        <f>SUM(T124*T126)</f>
        <v>288788.05862814415</v>
      </c>
      <c r="U127" s="232"/>
      <c r="V127" s="313">
        <f>SUM(V124*V126)</f>
        <v>305356.73470824241</v>
      </c>
      <c r="W127" s="232"/>
      <c r="X127" s="313">
        <f>SUM(X124*X126)</f>
        <v>325879.65205678041</v>
      </c>
      <c r="Y127" s="232"/>
      <c r="Z127" s="313">
        <f t="shared" si="77"/>
        <v>342582.37751931656</v>
      </c>
      <c r="AA127" s="313">
        <f t="shared" si="77"/>
        <v>359432.51419983897</v>
      </c>
      <c r="AB127" s="313">
        <f>SUM(AB124*AB126)</f>
        <v>376282.65088036144</v>
      </c>
    </row>
    <row r="128" spans="1:28" x14ac:dyDescent="0.3">
      <c r="A128" s="56" t="s">
        <v>124</v>
      </c>
      <c r="B128" s="168"/>
      <c r="C128" s="104">
        <v>1.2448000000000001E-2</v>
      </c>
      <c r="D128" s="106">
        <f>SUM(E128-C128)/E128</f>
        <v>2.1152787607139924E-2</v>
      </c>
      <c r="E128" s="105">
        <v>1.2716999999999999E-2</v>
      </c>
      <c r="F128" s="106">
        <f>SUM(G128-E128)/G128</f>
        <v>1.2578616352201311E-2</v>
      </c>
      <c r="G128" s="233">
        <v>1.2879E-2</v>
      </c>
      <c r="H128" s="234">
        <f>SUM((I128-G128)/G128)</f>
        <v>1.5232524017182573E-3</v>
      </c>
      <c r="I128" s="105">
        <f>SUM(I130/I127)</f>
        <v>1.2898617967681729E-2</v>
      </c>
      <c r="J128" s="107"/>
      <c r="K128" s="108">
        <f>SUM(L128-I128)/I128</f>
        <v>2.0893237059376537E-2</v>
      </c>
      <c r="L128" s="105">
        <f>SUM(L130/L127)</f>
        <v>1.3168111850618837E-2</v>
      </c>
      <c r="M128" s="106">
        <f>SUM(N128-L128)/L128</f>
        <v>-2.4622895488339361E-2</v>
      </c>
      <c r="N128" s="105">
        <f>SUM(N130/N127)</f>
        <v>1.2843874808742287E-2</v>
      </c>
      <c r="O128" s="138">
        <f>SUM(P128-N128)/N128</f>
        <v>-7.238054115254829E-3</v>
      </c>
      <c r="P128" s="293">
        <f>2723096/213560912</f>
        <v>1.2750910147827052E-2</v>
      </c>
      <c r="Q128" s="294">
        <f>SUM((R128-P128)/P128)</f>
        <v>2.1525227259517082E-2</v>
      </c>
      <c r="R128" s="293">
        <f>3018794.42/231762548</f>
        <v>1.3025376386524712E-2</v>
      </c>
      <c r="S128" s="305">
        <v>0.02</v>
      </c>
      <c r="T128" s="303">
        <f>SUM(R128*(1+S128))</f>
        <v>1.3285883914255206E-2</v>
      </c>
      <c r="U128" s="305">
        <f>$U$30</f>
        <v>0.01</v>
      </c>
      <c r="V128" s="318">
        <f>SUM(T128*(1+U128))</f>
        <v>1.3418742753397758E-2</v>
      </c>
      <c r="W128" s="305">
        <f>$W$30</f>
        <v>1.4999999999999999E-2</v>
      </c>
      <c r="X128" s="318">
        <f>SUM(V128*(1+W128))</f>
        <v>1.3620023894698723E-2</v>
      </c>
      <c r="Y128" s="305">
        <f>$Y$30</f>
        <v>0.02</v>
      </c>
      <c r="Z128" s="318">
        <f>SUM(X128*(1+Y128))</f>
        <v>1.3892424372592698E-2</v>
      </c>
      <c r="AA128" s="318">
        <f>SUM(Z128*(1+Y128))</f>
        <v>1.4170272860044552E-2</v>
      </c>
      <c r="AB128" s="318">
        <f>SUM(AA128*(1+Y128))</f>
        <v>1.4453678317245443E-2</v>
      </c>
    </row>
    <row r="129" spans="1:28" x14ac:dyDescent="0.3">
      <c r="A129" s="56"/>
      <c r="C129" s="109"/>
      <c r="E129" s="110"/>
      <c r="G129" s="109"/>
      <c r="I129" s="109"/>
      <c r="J129" s="111"/>
      <c r="K129" s="71"/>
      <c r="L129" s="109"/>
      <c r="M129" s="111"/>
      <c r="N129" s="110"/>
      <c r="O129" s="111"/>
      <c r="P129" s="139"/>
      <c r="Q129" s="71"/>
      <c r="R129" s="139"/>
      <c r="S129" s="71"/>
      <c r="T129" s="139"/>
      <c r="U129" s="71"/>
      <c r="V129" s="319"/>
      <c r="W129" s="71"/>
      <c r="X129" s="319"/>
      <c r="Y129" s="71"/>
      <c r="Z129" s="319"/>
      <c r="AA129" s="319"/>
      <c r="AB129" s="319"/>
    </row>
    <row r="130" spans="1:28" ht="15" thickBot="1" x14ac:dyDescent="0.35">
      <c r="C130" s="112">
        <v>1843</v>
      </c>
      <c r="E130" s="112">
        <f>SUM(E127*E128)</f>
        <v>1939.7429074619999</v>
      </c>
      <c r="G130" s="112">
        <f t="shared" ref="G130" si="78">SUM(G127*G128)</f>
        <v>2238.4238615852555</v>
      </c>
      <c r="I130" s="112">
        <v>2444.3019199999999</v>
      </c>
      <c r="J130" s="113"/>
      <c r="K130" s="114"/>
      <c r="L130" s="112">
        <v>2941.3620000000001</v>
      </c>
      <c r="M130" s="113"/>
      <c r="N130" s="112">
        <v>2778.7148000000002</v>
      </c>
      <c r="O130" s="113"/>
      <c r="P130" s="141">
        <f>SUM(P127*P128)</f>
        <v>2723.0960382527305</v>
      </c>
      <c r="Q130" s="114"/>
      <c r="R130" s="141">
        <f t="shared" ref="R130" si="79">SUM(R127*R128)</f>
        <v>3018.7944147768244</v>
      </c>
      <c r="S130" s="114"/>
      <c r="T130" s="304">
        <f>SUM(T127*T128)</f>
        <v>3836.8046227566497</v>
      </c>
      <c r="U130" s="114"/>
      <c r="V130" s="320">
        <f t="shared" ref="V130" si="80">SUM(V127*V128)</f>
        <v>4097.5034710674299</v>
      </c>
      <c r="W130" s="114"/>
      <c r="X130" s="320">
        <f>SUM(X127*X128)</f>
        <v>4438.488647809455</v>
      </c>
      <c r="Y130" s="114"/>
      <c r="Z130" s="320">
        <f>SUM(Z127*Z128)</f>
        <v>4759.2997710701065</v>
      </c>
      <c r="AA130" s="320">
        <f>SUM(AA127*AA128)</f>
        <v>5093.2568009835568</v>
      </c>
      <c r="AB130" s="320">
        <f>SUM(AB127*AB128)</f>
        <v>5438.6683921851172</v>
      </c>
    </row>
    <row r="131" spans="1:28" ht="15" thickTop="1" x14ac:dyDescent="0.3">
      <c r="A131" s="235"/>
      <c r="C131" s="236"/>
      <c r="E131" s="237"/>
      <c r="G131" s="238"/>
      <c r="I131" s="238"/>
      <c r="J131" s="238"/>
      <c r="K131" s="239"/>
      <c r="L131" s="239"/>
      <c r="M131" s="238"/>
      <c r="N131" s="239"/>
      <c r="O131" s="238"/>
      <c r="P131" s="238"/>
      <c r="Q131" s="239"/>
      <c r="R131" s="238"/>
      <c r="S131" s="239"/>
      <c r="T131" s="238"/>
      <c r="U131" s="239"/>
      <c r="V131" s="238"/>
      <c r="W131" s="239"/>
      <c r="X131" s="238"/>
      <c r="Y131" s="239"/>
      <c r="Z131" s="238"/>
      <c r="AA131" s="238"/>
      <c r="AB131" s="238"/>
    </row>
    <row r="132" spans="1:28" x14ac:dyDescent="0.3">
      <c r="A132" s="121" t="s">
        <v>93</v>
      </c>
      <c r="C132" s="57" t="s">
        <v>46</v>
      </c>
      <c r="E132" s="57" t="s">
        <v>20</v>
      </c>
      <c r="G132" s="57" t="s">
        <v>21</v>
      </c>
      <c r="I132" s="57" t="s">
        <v>47</v>
      </c>
      <c r="J132" s="120"/>
      <c r="K132" s="59"/>
      <c r="L132" s="57" t="s">
        <v>48</v>
      </c>
      <c r="M132" s="58"/>
      <c r="N132" s="57" t="s">
        <v>49</v>
      </c>
      <c r="O132" s="58"/>
      <c r="P132" s="120" t="s">
        <v>50</v>
      </c>
      <c r="Q132" s="59"/>
      <c r="R132" s="120" t="s">
        <v>131</v>
      </c>
      <c r="S132" s="59"/>
      <c r="T132" s="120" t="s">
        <v>149</v>
      </c>
      <c r="U132" s="59"/>
      <c r="V132" s="301" t="s">
        <v>26</v>
      </c>
      <c r="W132" s="59"/>
      <c r="X132" s="301" t="s">
        <v>27</v>
      </c>
      <c r="Y132" s="59"/>
      <c r="Z132" s="301" t="s">
        <v>28</v>
      </c>
      <c r="AA132" s="301" t="s">
        <v>135</v>
      </c>
      <c r="AB132" s="301" t="str">
        <f>$AB$10</f>
        <v>2023 Estimate</v>
      </c>
    </row>
    <row r="133" spans="1:28" x14ac:dyDescent="0.3">
      <c r="A133" s="240"/>
      <c r="C133" s="45"/>
      <c r="E133" s="61"/>
      <c r="G133" s="62"/>
      <c r="I133" s="62"/>
      <c r="J133" s="63"/>
      <c r="K133" s="64"/>
      <c r="L133" s="61"/>
      <c r="M133" s="65"/>
      <c r="N133" s="61"/>
      <c r="O133" s="65"/>
      <c r="P133" s="65"/>
      <c r="Q133" s="64"/>
      <c r="R133" s="65"/>
      <c r="S133" s="64"/>
      <c r="T133" s="65"/>
      <c r="U133" s="64"/>
      <c r="V133" s="321"/>
      <c r="W133" s="64"/>
      <c r="X133" s="321"/>
      <c r="Y133" s="64"/>
      <c r="Z133" s="321"/>
      <c r="AA133" s="321"/>
      <c r="AB133" s="321"/>
    </row>
    <row r="134" spans="1:28" x14ac:dyDescent="0.3">
      <c r="A134" s="119" t="s">
        <v>30</v>
      </c>
      <c r="C134" s="62"/>
      <c r="E134" s="61"/>
      <c r="G134" s="62"/>
      <c r="I134" s="62"/>
      <c r="J134" s="63"/>
      <c r="K134" s="64"/>
      <c r="L134" s="61"/>
      <c r="M134" s="65"/>
      <c r="N134" s="61"/>
      <c r="O134" s="65"/>
      <c r="P134" s="65"/>
      <c r="Q134" s="64"/>
      <c r="R134" s="65"/>
      <c r="S134" s="64"/>
      <c r="T134" s="65"/>
      <c r="U134" s="64"/>
      <c r="V134" s="321"/>
      <c r="W134" s="64"/>
      <c r="X134" s="321"/>
      <c r="Y134" s="64"/>
      <c r="Z134" s="321"/>
      <c r="AA134" s="321"/>
      <c r="AB134" s="321"/>
    </row>
    <row r="135" spans="1:28" x14ac:dyDescent="0.3">
      <c r="A135" s="119" t="s">
        <v>31</v>
      </c>
      <c r="C135" s="69">
        <v>364953</v>
      </c>
      <c r="E135" s="69">
        <v>369405.65100000001</v>
      </c>
      <c r="G135" s="69">
        <v>424400.88699999999</v>
      </c>
      <c r="I135" s="69">
        <v>451330.43099999998</v>
      </c>
      <c r="J135" s="70"/>
      <c r="K135" s="71"/>
      <c r="L135" s="69">
        <v>489356.26899999997</v>
      </c>
      <c r="M135" s="72"/>
      <c r="N135" s="69">
        <v>510289.36700000003</v>
      </c>
      <c r="O135" s="70"/>
      <c r="P135" s="70">
        <v>558892.69999999995</v>
      </c>
      <c r="Q135" s="73"/>
      <c r="R135" s="70">
        <v>631442.69799999997</v>
      </c>
      <c r="S135" s="73"/>
      <c r="T135" s="70">
        <v>725360.09499999997</v>
      </c>
      <c r="U135" s="73"/>
      <c r="V135" s="313">
        <f>SUM(T135:T137)</f>
        <v>725360.09499999997</v>
      </c>
      <c r="W135" s="73"/>
      <c r="X135" s="313">
        <f>SUM(V135:V137)</f>
        <v>763800.09499999997</v>
      </c>
      <c r="Y135" s="73"/>
      <c r="Z135" s="313">
        <f>SUM(X135:X137)</f>
        <v>811414.09499999997</v>
      </c>
      <c r="AA135" s="313">
        <f>SUM(Z135:Z137)</f>
        <v>850165.09499999997</v>
      </c>
      <c r="AB135" s="313">
        <f>SUM(AA135:AA137)</f>
        <v>889258.09499999997</v>
      </c>
    </row>
    <row r="136" spans="1:28" x14ac:dyDescent="0.3">
      <c r="A136" s="119" t="s">
        <v>32</v>
      </c>
      <c r="C136" s="69"/>
      <c r="E136" s="75"/>
      <c r="G136" s="69"/>
      <c r="I136" s="69"/>
      <c r="J136" s="70"/>
      <c r="K136" s="71"/>
      <c r="L136" s="75"/>
      <c r="M136" s="72"/>
      <c r="N136" s="69"/>
      <c r="O136" s="70"/>
      <c r="P136" s="70"/>
      <c r="Q136" s="73"/>
      <c r="R136" s="70">
        <f>SUM(R118)</f>
        <v>0</v>
      </c>
      <c r="S136" s="73"/>
      <c r="T136" s="70">
        <f>SUM(T118)</f>
        <v>0</v>
      </c>
      <c r="U136" s="73"/>
      <c r="V136" s="313">
        <f t="shared" ref="V136:AA137" si="81">SUM(V118)</f>
        <v>69017</v>
      </c>
      <c r="W136" s="73"/>
      <c r="X136" s="313">
        <f t="shared" si="81"/>
        <v>78191</v>
      </c>
      <c r="Y136" s="73"/>
      <c r="Z136" s="313">
        <f t="shared" si="81"/>
        <v>69328</v>
      </c>
      <c r="AA136" s="313">
        <f t="shared" si="81"/>
        <v>69670</v>
      </c>
      <c r="AB136" s="313">
        <f>SUM(AB118)</f>
        <v>69670</v>
      </c>
    </row>
    <row r="137" spans="1:28" x14ac:dyDescent="0.3">
      <c r="A137" s="119" t="s">
        <v>52</v>
      </c>
      <c r="C137" s="69"/>
      <c r="E137" s="75"/>
      <c r="G137" s="69"/>
      <c r="I137" s="69"/>
      <c r="J137" s="70"/>
      <c r="K137" s="71"/>
      <c r="L137" s="75"/>
      <c r="M137" s="72"/>
      <c r="N137" s="69"/>
      <c r="O137" s="70"/>
      <c r="P137" s="70"/>
      <c r="Q137" s="73"/>
      <c r="R137" s="70">
        <f>SUM(R119)</f>
        <v>0</v>
      </c>
      <c r="S137" s="73"/>
      <c r="T137" s="70">
        <f>SUM(T119)</f>
        <v>0</v>
      </c>
      <c r="U137" s="73"/>
      <c r="V137" s="313">
        <f t="shared" si="81"/>
        <v>-30577</v>
      </c>
      <c r="W137" s="73"/>
      <c r="X137" s="313">
        <f t="shared" si="81"/>
        <v>-30577</v>
      </c>
      <c r="Y137" s="73"/>
      <c r="Z137" s="313">
        <f t="shared" si="81"/>
        <v>-30577</v>
      </c>
      <c r="AA137" s="313">
        <f t="shared" si="81"/>
        <v>-30577</v>
      </c>
      <c r="AB137" s="313">
        <f>SUM(AB119)</f>
        <v>-30577</v>
      </c>
    </row>
    <row r="138" spans="1:28" x14ac:dyDescent="0.3">
      <c r="A138" s="119" t="s">
        <v>37</v>
      </c>
      <c r="C138" s="86">
        <v>1</v>
      </c>
      <c r="E138" s="86">
        <v>1</v>
      </c>
      <c r="G138" s="86">
        <v>1</v>
      </c>
      <c r="I138" s="86">
        <v>1</v>
      </c>
      <c r="J138" s="87"/>
      <c r="K138" s="71"/>
      <c r="L138" s="86">
        <v>1</v>
      </c>
      <c r="M138" s="89"/>
      <c r="N138" s="86">
        <v>1</v>
      </c>
      <c r="O138" s="87"/>
      <c r="P138" s="87">
        <v>1</v>
      </c>
      <c r="Q138" s="73"/>
      <c r="R138" s="87">
        <v>1</v>
      </c>
      <c r="S138" s="73"/>
      <c r="T138" s="87">
        <v>1</v>
      </c>
      <c r="U138" s="73"/>
      <c r="V138" s="314">
        <v>1</v>
      </c>
      <c r="W138" s="73"/>
      <c r="X138" s="314">
        <v>1</v>
      </c>
      <c r="Y138" s="73"/>
      <c r="Z138" s="314">
        <v>1</v>
      </c>
      <c r="AA138" s="314">
        <v>1</v>
      </c>
      <c r="AB138" s="314">
        <v>1</v>
      </c>
    </row>
    <row r="139" spans="1:28" x14ac:dyDescent="0.3">
      <c r="A139" s="119" t="s">
        <v>38</v>
      </c>
      <c r="C139" s="90">
        <v>0.19417899999999999</v>
      </c>
      <c r="E139" s="90">
        <v>0.18853565999999999</v>
      </c>
      <c r="G139" s="90">
        <f>79213073/424400887</f>
        <v>0.18664681301667496</v>
      </c>
      <c r="I139" s="90">
        <f>85831.54/451330.431</f>
        <v>0.1901745021044238</v>
      </c>
      <c r="J139" s="91"/>
      <c r="K139" s="81"/>
      <c r="L139" s="90">
        <v>0.18943473999999999</v>
      </c>
      <c r="M139" s="94"/>
      <c r="N139" s="90">
        <f>96666.593/510289.367</f>
        <v>0.18943485647820679</v>
      </c>
      <c r="O139" s="91"/>
      <c r="P139" s="91">
        <f>103095.598/558892.7</f>
        <v>0.18446402681588078</v>
      </c>
      <c r="Q139" s="84"/>
      <c r="R139" s="91">
        <f>115955848/631442698</f>
        <v>0.18363637487181775</v>
      </c>
      <c r="S139" s="84"/>
      <c r="T139" s="91">
        <f>134625429/725360095</f>
        <v>0.18559806353835884</v>
      </c>
      <c r="U139" s="84"/>
      <c r="V139" s="315">
        <f>SUM(T139)</f>
        <v>0.18559806353835884</v>
      </c>
      <c r="W139" s="84"/>
      <c r="X139" s="315">
        <f>SUM(V139)</f>
        <v>0.18559806353835884</v>
      </c>
      <c r="Y139" s="84"/>
      <c r="Z139" s="315">
        <f>SUM(X139)</f>
        <v>0.18559806353835884</v>
      </c>
      <c r="AA139" s="315">
        <f t="shared" ref="AA139:AB139" si="82">SUM(Z139)</f>
        <v>0.18559806353835884</v>
      </c>
      <c r="AB139" s="315">
        <f t="shared" si="82"/>
        <v>0.18559806353835884</v>
      </c>
    </row>
    <row r="140" spans="1:28" x14ac:dyDescent="0.3">
      <c r="A140" s="119" t="s">
        <v>39</v>
      </c>
      <c r="C140" s="99">
        <f>SUM((C135+C136+C137)*C138*C139)</f>
        <v>70866.208587000001</v>
      </c>
      <c r="E140" s="99">
        <f>SUM((E135+E136+E137)*E138*E139)</f>
        <v>69646.138219014654</v>
      </c>
      <c r="G140" s="99">
        <f t="shared" ref="G140:I140" si="83">SUM((G135+G136+G137)*G138*G139)</f>
        <v>79213.073000000004</v>
      </c>
      <c r="I140" s="99">
        <f t="shared" si="83"/>
        <v>85831.54</v>
      </c>
      <c r="J140" s="100"/>
      <c r="K140" s="101"/>
      <c r="L140" s="99">
        <f t="shared" ref="L140:Z140" si="84">SUM((L135+L136+L137)*L138*L139)</f>
        <v>92701.07758538505</v>
      </c>
      <c r="M140" s="102"/>
      <c r="N140" s="99">
        <f t="shared" si="84"/>
        <v>96666.592999999993</v>
      </c>
      <c r="O140" s="100"/>
      <c r="P140" s="100">
        <f t="shared" si="84"/>
        <v>103095.598</v>
      </c>
      <c r="Q140" s="177"/>
      <c r="R140" s="100">
        <f t="shared" ref="R140" si="85">SUM((R135+R136+R137)*R138*R139)</f>
        <v>115955.848</v>
      </c>
      <c r="S140" s="177"/>
      <c r="T140" s="100">
        <f t="shared" si="84"/>
        <v>134625.429</v>
      </c>
      <c r="U140" s="177"/>
      <c r="V140" s="317">
        <f t="shared" si="84"/>
        <v>141759.8185624145</v>
      </c>
      <c r="W140" s="177"/>
      <c r="X140" s="317">
        <f t="shared" si="84"/>
        <v>150596.88475972993</v>
      </c>
      <c r="Y140" s="177"/>
      <c r="Z140" s="317">
        <f t="shared" si="84"/>
        <v>157788.99531990488</v>
      </c>
      <c r="AA140" s="317">
        <f>SUM((AA135+AA136+AA137)*AA138*AA139)</f>
        <v>165044.58041780992</v>
      </c>
      <c r="AB140" s="317">
        <f>SUM((AB135+AB136+AB137)*AB138*AB139)</f>
        <v>172300.16551571499</v>
      </c>
    </row>
    <row r="141" spans="1:28" x14ac:dyDescent="0.3">
      <c r="A141" s="119" t="s">
        <v>60</v>
      </c>
      <c r="C141" s="78">
        <v>-902</v>
      </c>
      <c r="E141" s="78">
        <v>-925.8</v>
      </c>
      <c r="G141" s="78"/>
      <c r="I141" s="78"/>
      <c r="J141" s="83"/>
      <c r="K141" s="81"/>
      <c r="L141" s="78"/>
      <c r="M141" s="80"/>
      <c r="N141" s="78"/>
      <c r="O141" s="83"/>
      <c r="P141" s="83"/>
      <c r="Q141" s="84"/>
      <c r="R141" s="83"/>
      <c r="S141" s="84"/>
      <c r="T141" s="83">
        <v>-100</v>
      </c>
      <c r="U141" s="84"/>
      <c r="V141" s="323"/>
      <c r="W141" s="84"/>
      <c r="X141" s="323"/>
      <c r="Y141" s="84"/>
      <c r="Z141" s="323"/>
      <c r="AA141" s="323"/>
      <c r="AB141" s="323"/>
    </row>
    <row r="142" spans="1:28" x14ac:dyDescent="0.3">
      <c r="A142" s="119" t="s">
        <v>41</v>
      </c>
      <c r="C142" s="69">
        <f>C140+C141</f>
        <v>69964.208587000001</v>
      </c>
      <c r="E142" s="69">
        <f>SUM(E140:E141)</f>
        <v>68720.338219014651</v>
      </c>
      <c r="G142" s="69">
        <f t="shared" ref="G142:I142" si="86">SUM(G140)</f>
        <v>79213.073000000004</v>
      </c>
      <c r="I142" s="69">
        <f t="shared" si="86"/>
        <v>85831.54</v>
      </c>
      <c r="J142" s="70"/>
      <c r="K142" s="71"/>
      <c r="L142" s="69">
        <f t="shared" ref="L142:AA142" si="87">SUM(L140)</f>
        <v>92701.07758538505</v>
      </c>
      <c r="M142" s="72"/>
      <c r="N142" s="69">
        <f t="shared" si="87"/>
        <v>96666.592999999993</v>
      </c>
      <c r="O142" s="70"/>
      <c r="P142" s="70">
        <f t="shared" si="87"/>
        <v>103095.598</v>
      </c>
      <c r="Q142" s="73"/>
      <c r="R142" s="70">
        <f>R140+R141</f>
        <v>115955.848</v>
      </c>
      <c r="S142" s="73"/>
      <c r="T142" s="70">
        <f>T140+T141</f>
        <v>134525.429</v>
      </c>
      <c r="U142" s="73"/>
      <c r="V142" s="313">
        <f t="shared" si="87"/>
        <v>141759.8185624145</v>
      </c>
      <c r="W142" s="73"/>
      <c r="X142" s="313">
        <f t="shared" si="87"/>
        <v>150596.88475972993</v>
      </c>
      <c r="Y142" s="73"/>
      <c r="Z142" s="313">
        <f t="shared" si="87"/>
        <v>157788.99531990488</v>
      </c>
      <c r="AA142" s="313">
        <f t="shared" si="87"/>
        <v>165044.58041780992</v>
      </c>
      <c r="AB142" s="313">
        <f>SUM(AB140)</f>
        <v>172300.16551571499</v>
      </c>
    </row>
    <row r="143" spans="1:28" x14ac:dyDescent="0.3">
      <c r="A143" s="119" t="s">
        <v>55</v>
      </c>
      <c r="C143" s="133">
        <v>1</v>
      </c>
      <c r="E143" s="133">
        <v>1</v>
      </c>
      <c r="G143" s="133">
        <f>77458/79213</f>
        <v>0.97784454571850576</v>
      </c>
      <c r="I143" s="133">
        <v>1</v>
      </c>
      <c r="J143" s="134"/>
      <c r="K143" s="81"/>
      <c r="L143" s="133">
        <v>1</v>
      </c>
      <c r="M143" s="135"/>
      <c r="N143" s="133">
        <v>1</v>
      </c>
      <c r="O143" s="134"/>
      <c r="P143" s="134">
        <v>1</v>
      </c>
      <c r="Q143" s="84"/>
      <c r="R143" s="134">
        <v>1</v>
      </c>
      <c r="S143" s="84"/>
      <c r="T143" s="134">
        <v>1</v>
      </c>
      <c r="U143" s="84"/>
      <c r="V143" s="324">
        <v>1</v>
      </c>
      <c r="W143" s="84"/>
      <c r="X143" s="324">
        <v>1</v>
      </c>
      <c r="Y143" s="84"/>
      <c r="Z143" s="324">
        <v>1</v>
      </c>
      <c r="AA143" s="324">
        <v>1</v>
      </c>
      <c r="AB143" s="324">
        <v>1</v>
      </c>
    </row>
    <row r="144" spans="1:28" x14ac:dyDescent="0.3">
      <c r="A144" s="119" t="s">
        <v>42</v>
      </c>
      <c r="C144" s="69">
        <f>SUM(C142*C143)</f>
        <v>69964.208587000001</v>
      </c>
      <c r="E144" s="69">
        <f>SUM(E142*E143)</f>
        <v>68720.338219014651</v>
      </c>
      <c r="G144" s="69">
        <f t="shared" ref="G144:I144" si="88">SUM(G142*G143)</f>
        <v>77458.071382651833</v>
      </c>
      <c r="I144" s="69">
        <f t="shared" si="88"/>
        <v>85831.54</v>
      </c>
      <c r="J144" s="70"/>
      <c r="K144" s="71"/>
      <c r="L144" s="69">
        <f t="shared" ref="L144:AA144" si="89">SUM(L142*L143)</f>
        <v>92701.07758538505</v>
      </c>
      <c r="M144" s="72"/>
      <c r="N144" s="69">
        <f t="shared" si="89"/>
        <v>96666.592999999993</v>
      </c>
      <c r="O144" s="70"/>
      <c r="P144" s="70">
        <f t="shared" si="89"/>
        <v>103095.598</v>
      </c>
      <c r="Q144" s="73"/>
      <c r="R144" s="70">
        <f t="shared" ref="R144" si="90">SUM(R142*R143)</f>
        <v>115955.848</v>
      </c>
      <c r="S144" s="73"/>
      <c r="T144" s="70">
        <f t="shared" si="89"/>
        <v>134525.429</v>
      </c>
      <c r="U144" s="73"/>
      <c r="V144" s="313">
        <f t="shared" si="89"/>
        <v>141759.8185624145</v>
      </c>
      <c r="W144" s="73"/>
      <c r="X144" s="313">
        <f t="shared" si="89"/>
        <v>150596.88475972993</v>
      </c>
      <c r="Y144" s="73"/>
      <c r="Z144" s="313">
        <f t="shared" si="89"/>
        <v>157788.99531990488</v>
      </c>
      <c r="AA144" s="313">
        <f t="shared" si="89"/>
        <v>165044.58041780992</v>
      </c>
      <c r="AB144" s="313">
        <f>SUM(AB142*AB143)</f>
        <v>172300.16551571499</v>
      </c>
    </row>
    <row r="145" spans="1:28" x14ac:dyDescent="0.3">
      <c r="A145" s="119" t="s">
        <v>44</v>
      </c>
      <c r="B145" s="168"/>
      <c r="C145" s="105">
        <f>802707.06/69964158</f>
        <v>1.1473118278647762E-2</v>
      </c>
      <c r="D145" s="136">
        <f>SUM(E145-C145)/E145</f>
        <v>7.9026924355978134E-2</v>
      </c>
      <c r="E145" s="105">
        <f>856090.19/68720290</f>
        <v>1.2457604442588935E-2</v>
      </c>
      <c r="F145" s="136">
        <f>SUM(G145-E145)/G145</f>
        <v>0.13269904482785214</v>
      </c>
      <c r="G145" s="105">
        <f>1112585/77458394</f>
        <v>1.4363646630731848E-2</v>
      </c>
      <c r="H145" s="108">
        <f>SUM(I145-G145)/G145</f>
        <v>1.8103872228034199E-2</v>
      </c>
      <c r="I145" s="105">
        <f>1255173.34/85831540</f>
        <v>1.4623684254063251E-2</v>
      </c>
      <c r="J145" s="137"/>
      <c r="K145" s="106">
        <f>SUM(L145-I145)/I145</f>
        <v>-1.3949345977307324E-2</v>
      </c>
      <c r="L145" s="105">
        <f>1336.72/92701</f>
        <v>1.4419693422940421E-2</v>
      </c>
      <c r="M145" s="108">
        <f>SUM((N145-L145)/L145)</f>
        <v>2.0801192302491757E-3</v>
      </c>
      <c r="N145" s="105">
        <f>1396.808/96667</f>
        <v>1.4449688104523777E-2</v>
      </c>
      <c r="O145" s="168">
        <f>SUM(P147-N147)/N147</f>
        <v>5.2438044034974686E-2</v>
      </c>
      <c r="P145" s="293">
        <f>1470.04769/103095.598</f>
        <v>1.4259073311743148E-2</v>
      </c>
      <c r="Q145" s="294">
        <f>SUM((R145-P145)/P145)</f>
        <v>-7.5763117063388586E-3</v>
      </c>
      <c r="R145" s="293">
        <f>1640896.09/115955848</f>
        <v>1.4151042127689844E-2</v>
      </c>
      <c r="S145" s="294">
        <f>SUM((T145-R145)/R145)</f>
        <v>-7.2473180601005147E-2</v>
      </c>
      <c r="T145" s="293">
        <f>1765.70963/T144</f>
        <v>1.3125471095877346E-2</v>
      </c>
      <c r="U145" s="305">
        <f>$U$30</f>
        <v>0.01</v>
      </c>
      <c r="V145" s="318">
        <f>SUM(T145*(1+U145))</f>
        <v>1.3256725806836119E-2</v>
      </c>
      <c r="W145" s="305">
        <f>$W$30</f>
        <v>1.4999999999999999E-2</v>
      </c>
      <c r="X145" s="318">
        <f>SUM(V145*(1+W145))</f>
        <v>1.345557669393866E-2</v>
      </c>
      <c r="Y145" s="305">
        <f>$Y$30</f>
        <v>0.02</v>
      </c>
      <c r="Z145" s="318">
        <f>SUM(X145*(1+Y145))</f>
        <v>1.3724688227817434E-2</v>
      </c>
      <c r="AA145" s="318">
        <f>SUM(Z145*(1+Y145))</f>
        <v>1.3999181992373783E-2</v>
      </c>
      <c r="AB145" s="318">
        <f>SUM(AA145*(1+Y145))</f>
        <v>1.427916563222126E-2</v>
      </c>
    </row>
    <row r="146" spans="1:28" x14ac:dyDescent="0.3">
      <c r="A146" s="119"/>
      <c r="C146" s="241"/>
      <c r="E146" s="99"/>
      <c r="G146" s="99"/>
      <c r="I146" s="99"/>
      <c r="J146" s="100"/>
      <c r="K146" s="101"/>
      <c r="L146" s="241"/>
      <c r="M146" s="102"/>
      <c r="N146" s="99"/>
      <c r="O146" s="102"/>
      <c r="P146" s="100"/>
      <c r="Q146" s="101"/>
      <c r="R146" s="100"/>
      <c r="S146" s="101"/>
      <c r="T146" s="100"/>
      <c r="U146" s="101"/>
      <c r="V146" s="317"/>
      <c r="W146" s="101"/>
      <c r="X146" s="317"/>
      <c r="Y146" s="101"/>
      <c r="Z146" s="317"/>
      <c r="AA146" s="317"/>
      <c r="AB146" s="317"/>
    </row>
    <row r="147" spans="1:28" x14ac:dyDescent="0.3">
      <c r="A147" s="140" t="s">
        <v>45</v>
      </c>
      <c r="C147" s="178">
        <f>SUM(C144*C145)</f>
        <v>802.70764039063442</v>
      </c>
      <c r="E147" s="178">
        <f>SUM(E144*E145)</f>
        <v>856.09079069341112</v>
      </c>
      <c r="G147" s="178">
        <f t="shared" ref="G147:I147" si="91">SUM(G144*G145)</f>
        <v>1112.580366038414</v>
      </c>
      <c r="I147" s="178">
        <f t="shared" si="91"/>
        <v>1255.1733400000001</v>
      </c>
      <c r="J147" s="179"/>
      <c r="K147" s="180"/>
      <c r="L147" s="178">
        <f t="shared" ref="L147:P147" si="92">SUM(L144*L145)</f>
        <v>1336.7211187574665</v>
      </c>
      <c r="M147" s="181"/>
      <c r="N147" s="178">
        <f t="shared" si="92"/>
        <v>1396.8021189769413</v>
      </c>
      <c r="O147" s="181"/>
      <c r="P147" s="179">
        <f t="shared" si="92"/>
        <v>1470.0476900000001</v>
      </c>
      <c r="Q147" s="180"/>
      <c r="R147" s="179">
        <f t="shared" ref="R147" si="93">SUM(R144*R145)</f>
        <v>1640.8960900000002</v>
      </c>
      <c r="S147" s="180"/>
      <c r="T147" s="179">
        <f>SUM(T144*T145)</f>
        <v>1765.7096300000001</v>
      </c>
      <c r="U147" s="180"/>
      <c r="V147" s="338">
        <f>SUM(V144*V145)</f>
        <v>1879.2710451087662</v>
      </c>
      <c r="W147" s="180"/>
      <c r="X147" s="338">
        <f>SUM(X144*X145)</f>
        <v>2026.3679327527882</v>
      </c>
      <c r="Y147" s="180"/>
      <c r="Z147" s="338">
        <f>SUM(Z144*Z145)</f>
        <v>2165.6047665462388</v>
      </c>
      <c r="AA147" s="338">
        <f>SUM(AA144*AA145)</f>
        <v>2310.4891181238913</v>
      </c>
      <c r="AB147" s="338">
        <f>SUM(AB144*AB145)</f>
        <v>2460.3026018580322</v>
      </c>
    </row>
    <row r="148" spans="1:28" x14ac:dyDescent="0.3">
      <c r="A148" s="170"/>
      <c r="C148" s="143"/>
      <c r="I148" s="242"/>
      <c r="J148" s="242"/>
      <c r="K148" s="145"/>
      <c r="L148" s="145"/>
      <c r="M148" s="144"/>
      <c r="N148" s="144"/>
      <c r="O148" s="144"/>
      <c r="P148" s="144"/>
      <c r="Q148" s="145"/>
      <c r="R148" s="144"/>
      <c r="S148" s="145"/>
      <c r="T148" s="144"/>
      <c r="U148" s="145"/>
      <c r="V148" s="144"/>
      <c r="W148" s="145"/>
      <c r="X148" s="144"/>
      <c r="Y148" s="145"/>
      <c r="Z148" s="144"/>
      <c r="AA148" s="144"/>
      <c r="AB148" s="144"/>
    </row>
    <row r="149" spans="1:28" x14ac:dyDescent="0.3">
      <c r="A149" s="185" t="s">
        <v>94</v>
      </c>
      <c r="C149" s="186" t="s">
        <v>67</v>
      </c>
      <c r="E149" s="186" t="s">
        <v>68</v>
      </c>
      <c r="G149" s="186" t="s">
        <v>69</v>
      </c>
      <c r="I149" s="186" t="s">
        <v>70</v>
      </c>
      <c r="J149" s="187"/>
      <c r="K149" s="188"/>
      <c r="L149" s="186" t="s">
        <v>71</v>
      </c>
      <c r="M149" s="189"/>
      <c r="N149" s="186" t="s">
        <v>72</v>
      </c>
      <c r="O149" s="187"/>
      <c r="P149" s="187" t="s">
        <v>73</v>
      </c>
      <c r="Q149" s="243"/>
      <c r="R149" s="187" t="s">
        <v>133</v>
      </c>
      <c r="S149" s="243"/>
      <c r="T149" s="187" t="s">
        <v>150</v>
      </c>
      <c r="U149" s="174"/>
      <c r="V149" s="301" t="s">
        <v>74</v>
      </c>
      <c r="W149" s="174"/>
      <c r="X149" s="301" t="s">
        <v>136</v>
      </c>
      <c r="Y149" s="174"/>
      <c r="Z149" s="301" t="s">
        <v>137</v>
      </c>
      <c r="AA149" s="301" t="s">
        <v>138</v>
      </c>
      <c r="AB149" s="301" t="str">
        <f>$AB$10</f>
        <v>2023 Estimate</v>
      </c>
    </row>
    <row r="150" spans="1:28" x14ac:dyDescent="0.3">
      <c r="A150" s="119"/>
      <c r="C150" s="62"/>
      <c r="E150" s="62"/>
      <c r="G150" s="62"/>
      <c r="I150" s="62"/>
      <c r="J150" s="63"/>
      <c r="K150" s="64"/>
      <c r="L150" s="62"/>
      <c r="M150" s="65"/>
      <c r="N150" s="61"/>
      <c r="O150" s="65"/>
      <c r="P150" s="65"/>
      <c r="Q150" s="64"/>
      <c r="R150" s="65"/>
      <c r="S150" s="64"/>
      <c r="T150" s="65"/>
      <c r="U150" s="64"/>
      <c r="V150" s="321"/>
      <c r="W150" s="64"/>
      <c r="X150" s="321"/>
      <c r="Y150" s="64"/>
      <c r="Z150" s="321"/>
      <c r="AA150" s="321"/>
      <c r="AB150" s="321"/>
    </row>
    <row r="151" spans="1:28" x14ac:dyDescent="0.3">
      <c r="A151" s="119" t="s">
        <v>126</v>
      </c>
      <c r="C151" s="62"/>
      <c r="E151" s="62"/>
      <c r="G151" s="62"/>
      <c r="I151" s="62"/>
      <c r="J151" s="63"/>
      <c r="K151" s="64"/>
      <c r="L151" s="62"/>
      <c r="M151" s="65"/>
      <c r="N151" s="61"/>
      <c r="O151" s="65"/>
      <c r="P151" s="65"/>
      <c r="Q151" s="64"/>
      <c r="R151" s="65"/>
      <c r="S151" s="64"/>
      <c r="T151" s="65"/>
      <c r="U151" s="64"/>
      <c r="V151" s="321"/>
      <c r="W151" s="64"/>
      <c r="X151" s="321"/>
      <c r="Y151" s="64"/>
      <c r="Z151" s="321"/>
      <c r="AA151" s="321"/>
      <c r="AB151" s="321"/>
    </row>
    <row r="152" spans="1:28" x14ac:dyDescent="0.3">
      <c r="A152" s="119" t="s">
        <v>95</v>
      </c>
      <c r="C152" s="69">
        <v>130466</v>
      </c>
      <c r="E152" s="69">
        <v>142400</v>
      </c>
      <c r="G152" s="69">
        <v>160600</v>
      </c>
      <c r="I152" s="69">
        <v>168937</v>
      </c>
      <c r="J152" s="70"/>
      <c r="K152" s="71"/>
      <c r="L152" s="69">
        <v>184700</v>
      </c>
      <c r="M152" s="72"/>
      <c r="N152" s="69">
        <v>209500</v>
      </c>
      <c r="O152" s="70"/>
      <c r="P152" s="70">
        <v>243796.47</v>
      </c>
      <c r="Q152" s="73"/>
      <c r="R152" s="70">
        <v>282611.34999999998</v>
      </c>
      <c r="S152" s="73"/>
      <c r="T152" s="70">
        <v>340600</v>
      </c>
      <c r="U152" s="73"/>
      <c r="V152" s="313">
        <f>SUM(T152:T154)</f>
        <v>340600</v>
      </c>
      <c r="W152" s="73"/>
      <c r="X152" s="313">
        <f>SUM(V152:V154)</f>
        <v>362552</v>
      </c>
      <c r="Y152" s="73"/>
      <c r="Z152" s="313">
        <f>SUM(X152:X154)</f>
        <v>384675</v>
      </c>
      <c r="AA152" s="313">
        <f t="shared" ref="AA152" si="94">SUM(Z152:Z154)</f>
        <v>404929</v>
      </c>
      <c r="AB152" s="313">
        <f>SUM(AA152:AA154)</f>
        <v>425304</v>
      </c>
    </row>
    <row r="153" spans="1:28" x14ac:dyDescent="0.3">
      <c r="A153" s="119" t="s">
        <v>96</v>
      </c>
      <c r="C153" s="69"/>
      <c r="E153" s="69"/>
      <c r="G153" s="69"/>
      <c r="I153" s="69"/>
      <c r="J153" s="70"/>
      <c r="K153" s="71"/>
      <c r="L153" s="69"/>
      <c r="M153" s="72"/>
      <c r="N153" s="69"/>
      <c r="O153" s="70"/>
      <c r="P153" s="70"/>
      <c r="Q153" s="73"/>
      <c r="R153" s="70"/>
      <c r="S153" s="73"/>
      <c r="T153" s="70"/>
      <c r="U153" s="73"/>
      <c r="V153" s="154">
        <v>21952</v>
      </c>
      <c r="W153" s="73"/>
      <c r="X153" s="154">
        <v>22123</v>
      </c>
      <c r="Y153" s="73"/>
      <c r="Z153" s="154">
        <v>20254</v>
      </c>
      <c r="AA153" s="154">
        <v>20375</v>
      </c>
      <c r="AB153" s="154">
        <f>AA153</f>
        <v>20375</v>
      </c>
    </row>
    <row r="154" spans="1:28" x14ac:dyDescent="0.3">
      <c r="A154" s="119" t="s">
        <v>52</v>
      </c>
      <c r="C154" s="69"/>
      <c r="E154" s="69"/>
      <c r="G154" s="69"/>
      <c r="I154" s="69"/>
      <c r="J154" s="70"/>
      <c r="K154" s="71"/>
      <c r="L154" s="69"/>
      <c r="M154" s="72"/>
      <c r="N154" s="69"/>
      <c r="O154" s="70"/>
      <c r="P154" s="70"/>
      <c r="Q154" s="73"/>
      <c r="R154" s="70">
        <v>0</v>
      </c>
      <c r="S154" s="73"/>
      <c r="T154" s="70">
        <v>0</v>
      </c>
      <c r="U154" s="73"/>
      <c r="V154" s="154">
        <v>0</v>
      </c>
      <c r="W154" s="73"/>
      <c r="X154" s="154">
        <v>0</v>
      </c>
      <c r="Y154" s="73"/>
      <c r="Z154" s="154">
        <v>0</v>
      </c>
      <c r="AA154" s="154">
        <v>0</v>
      </c>
      <c r="AB154" s="154">
        <f>AA154</f>
        <v>0</v>
      </c>
    </row>
    <row r="155" spans="1:28" x14ac:dyDescent="0.3">
      <c r="A155" s="119" t="s">
        <v>37</v>
      </c>
      <c r="C155" s="86">
        <v>1</v>
      </c>
      <c r="E155" s="86">
        <v>1</v>
      </c>
      <c r="G155" s="86">
        <v>1</v>
      </c>
      <c r="I155" s="86">
        <v>1</v>
      </c>
      <c r="J155" s="87"/>
      <c r="K155" s="71"/>
      <c r="L155" s="86">
        <v>1</v>
      </c>
      <c r="M155" s="89"/>
      <c r="N155" s="86">
        <v>1</v>
      </c>
      <c r="O155" s="87"/>
      <c r="P155" s="87">
        <v>1</v>
      </c>
      <c r="Q155" s="73"/>
      <c r="R155" s="87">
        <v>1</v>
      </c>
      <c r="S155" s="73"/>
      <c r="T155" s="87">
        <v>1</v>
      </c>
      <c r="U155" s="73"/>
      <c r="V155" s="314">
        <v>1</v>
      </c>
      <c r="W155" s="73"/>
      <c r="X155" s="314">
        <v>1</v>
      </c>
      <c r="Y155" s="73"/>
      <c r="Z155" s="314">
        <v>1</v>
      </c>
      <c r="AA155" s="314">
        <v>1</v>
      </c>
      <c r="AB155" s="314">
        <v>1</v>
      </c>
    </row>
    <row r="156" spans="1:28" x14ac:dyDescent="0.3">
      <c r="A156" s="119" t="s">
        <v>38</v>
      </c>
      <c r="C156" s="90">
        <v>1</v>
      </c>
      <c r="E156" s="90">
        <v>1</v>
      </c>
      <c r="G156" s="90">
        <v>1</v>
      </c>
      <c r="I156" s="90">
        <v>1</v>
      </c>
      <c r="J156" s="91"/>
      <c r="K156" s="81"/>
      <c r="L156" s="90">
        <v>1</v>
      </c>
      <c r="M156" s="94"/>
      <c r="N156" s="90">
        <v>1</v>
      </c>
      <c r="O156" s="91"/>
      <c r="P156" s="91">
        <v>1</v>
      </c>
      <c r="Q156" s="84"/>
      <c r="R156" s="91">
        <v>1</v>
      </c>
      <c r="S156" s="84"/>
      <c r="T156" s="91">
        <v>1</v>
      </c>
      <c r="U156" s="84"/>
      <c r="V156" s="315">
        <v>1</v>
      </c>
      <c r="W156" s="84"/>
      <c r="X156" s="315">
        <v>1</v>
      </c>
      <c r="Y156" s="84"/>
      <c r="Z156" s="315">
        <v>1</v>
      </c>
      <c r="AA156" s="315">
        <v>1</v>
      </c>
      <c r="AB156" s="315">
        <v>1</v>
      </c>
    </row>
    <row r="157" spans="1:28" x14ac:dyDescent="0.3">
      <c r="A157" s="119" t="s">
        <v>97</v>
      </c>
      <c r="C157" s="99">
        <f>SUM((C152+C153+C154)*C155*C156)</f>
        <v>130466</v>
      </c>
      <c r="E157" s="99">
        <f>SUM((E152+E153+E154)*E155*E156)</f>
        <v>142400</v>
      </c>
      <c r="G157" s="99">
        <f t="shared" ref="G157:I157" si="95">SUM((G152+G153+G154)*G155*G156)</f>
        <v>160600</v>
      </c>
      <c r="I157" s="99">
        <f t="shared" si="95"/>
        <v>168937</v>
      </c>
      <c r="J157" s="100"/>
      <c r="K157" s="101"/>
      <c r="L157" s="99">
        <f t="shared" ref="L157:AA157" si="96">SUM((L152+L153+L154)*L155*L156)</f>
        <v>184700</v>
      </c>
      <c r="M157" s="102"/>
      <c r="N157" s="99">
        <f t="shared" si="96"/>
        <v>209500</v>
      </c>
      <c r="O157" s="100"/>
      <c r="P157" s="100">
        <f t="shared" ref="P157" si="97">SUM((P152+P153+P154)*P155*P156)</f>
        <v>243796.47</v>
      </c>
      <c r="Q157" s="177"/>
      <c r="R157" s="100">
        <f t="shared" ref="R157" si="98">SUM((R152+R153+R154)*R155*R156)</f>
        <v>282611.34999999998</v>
      </c>
      <c r="S157" s="177"/>
      <c r="T157" s="100">
        <f t="shared" si="96"/>
        <v>340600</v>
      </c>
      <c r="U157" s="177"/>
      <c r="V157" s="317">
        <f>SUM((V152+V153+V154)*V155*V156)</f>
        <v>362552</v>
      </c>
      <c r="W157" s="177"/>
      <c r="X157" s="317">
        <f>SUM((X152+X153+X154)*X155*X156)</f>
        <v>384675</v>
      </c>
      <c r="Y157" s="177"/>
      <c r="Z157" s="317">
        <f t="shared" si="96"/>
        <v>404929</v>
      </c>
      <c r="AA157" s="317">
        <f t="shared" si="96"/>
        <v>425304</v>
      </c>
      <c r="AB157" s="317">
        <f>SUM((AB152+AB153+AB154)*AB155*AB156)</f>
        <v>445679</v>
      </c>
    </row>
    <row r="158" spans="1:28" x14ac:dyDescent="0.3">
      <c r="A158" s="119" t="s">
        <v>98</v>
      </c>
      <c r="C158" s="69"/>
      <c r="E158" s="69"/>
      <c r="G158" s="69"/>
      <c r="I158" s="69"/>
      <c r="J158" s="70"/>
      <c r="K158" s="71"/>
      <c r="L158" s="69"/>
      <c r="M158" s="72"/>
      <c r="N158" s="69"/>
      <c r="O158" s="70"/>
      <c r="P158" s="70"/>
      <c r="Q158" s="73"/>
      <c r="R158" s="70"/>
      <c r="S158" s="73"/>
      <c r="T158" s="70"/>
      <c r="U158" s="73"/>
      <c r="V158" s="313"/>
      <c r="W158" s="73"/>
      <c r="X158" s="313"/>
      <c r="Y158" s="73"/>
      <c r="Z158" s="313"/>
      <c r="AA158" s="313"/>
      <c r="AB158" s="313"/>
    </row>
    <row r="159" spans="1:28" x14ac:dyDescent="0.3">
      <c r="A159" s="119"/>
      <c r="C159" s="244">
        <v>1</v>
      </c>
      <c r="E159" s="244">
        <v>1</v>
      </c>
      <c r="G159" s="244">
        <v>1</v>
      </c>
      <c r="I159" s="244">
        <v>1</v>
      </c>
      <c r="J159" s="245"/>
      <c r="K159" s="71"/>
      <c r="L159" s="244">
        <v>1</v>
      </c>
      <c r="M159" s="246"/>
      <c r="N159" s="244">
        <v>1</v>
      </c>
      <c r="O159" s="245"/>
      <c r="P159" s="245">
        <v>1</v>
      </c>
      <c r="Q159" s="73"/>
      <c r="R159" s="245">
        <v>1</v>
      </c>
      <c r="S159" s="73"/>
      <c r="T159" s="245">
        <v>1</v>
      </c>
      <c r="U159" s="73"/>
      <c r="V159" s="339">
        <v>1</v>
      </c>
      <c r="W159" s="73"/>
      <c r="X159" s="339">
        <v>1</v>
      </c>
      <c r="Y159" s="73"/>
      <c r="Z159" s="339">
        <v>1</v>
      </c>
      <c r="AA159" s="339">
        <v>1</v>
      </c>
      <c r="AB159" s="339">
        <v>1</v>
      </c>
    </row>
    <row r="160" spans="1:28" x14ac:dyDescent="0.3">
      <c r="A160" s="119" t="s">
        <v>41</v>
      </c>
      <c r="C160" s="69">
        <f>SUM(C157*C159)</f>
        <v>130466</v>
      </c>
      <c r="E160" s="69">
        <f>SUM(E157*E159)</f>
        <v>142400</v>
      </c>
      <c r="G160" s="69">
        <f t="shared" ref="G160:I160" si="99">SUM(G157*G159)</f>
        <v>160600</v>
      </c>
      <c r="I160" s="69">
        <f t="shared" si="99"/>
        <v>168937</v>
      </c>
      <c r="J160" s="70"/>
      <c r="K160" s="71"/>
      <c r="L160" s="69">
        <f t="shared" ref="L160:AA160" si="100">SUM(L157*L159)</f>
        <v>184700</v>
      </c>
      <c r="M160" s="72"/>
      <c r="N160" s="69">
        <f t="shared" si="100"/>
        <v>209500</v>
      </c>
      <c r="O160" s="70"/>
      <c r="P160" s="70">
        <f t="shared" ref="P160" si="101">SUM(P157*P159)</f>
        <v>243796.47</v>
      </c>
      <c r="Q160" s="73"/>
      <c r="R160" s="70">
        <f t="shared" ref="R160" si="102">SUM(R157*R159)</f>
        <v>282611.34999999998</v>
      </c>
      <c r="S160" s="73"/>
      <c r="T160" s="70">
        <f t="shared" si="100"/>
        <v>340600</v>
      </c>
      <c r="U160" s="73"/>
      <c r="V160" s="313">
        <f t="shared" si="100"/>
        <v>362552</v>
      </c>
      <c r="W160" s="73"/>
      <c r="X160" s="313">
        <f t="shared" si="100"/>
        <v>384675</v>
      </c>
      <c r="Y160" s="73"/>
      <c r="Z160" s="313">
        <f t="shared" si="100"/>
        <v>404929</v>
      </c>
      <c r="AA160" s="313">
        <f t="shared" si="100"/>
        <v>425304</v>
      </c>
      <c r="AB160" s="313">
        <f>SUM(AB157*AB159)</f>
        <v>445679</v>
      </c>
    </row>
    <row r="161" spans="1:30" x14ac:dyDescent="0.3">
      <c r="A161" s="119" t="s">
        <v>55</v>
      </c>
      <c r="C161" s="95">
        <v>1</v>
      </c>
      <c r="E161" s="95">
        <v>1</v>
      </c>
      <c r="G161" s="95">
        <v>1</v>
      </c>
      <c r="I161" s="95">
        <v>1</v>
      </c>
      <c r="J161" s="247"/>
      <c r="K161" s="81"/>
      <c r="L161" s="95">
        <v>1</v>
      </c>
      <c r="M161" s="98"/>
      <c r="N161" s="95">
        <v>1</v>
      </c>
      <c r="O161" s="247"/>
      <c r="P161" s="247">
        <v>1</v>
      </c>
      <c r="Q161" s="84"/>
      <c r="R161" s="247">
        <v>1</v>
      </c>
      <c r="S161" s="84"/>
      <c r="T161" s="247">
        <v>1</v>
      </c>
      <c r="U161" s="84"/>
      <c r="V161" s="340">
        <v>1</v>
      </c>
      <c r="W161" s="84"/>
      <c r="X161" s="340">
        <v>1</v>
      </c>
      <c r="Y161" s="84"/>
      <c r="Z161" s="340">
        <v>1</v>
      </c>
      <c r="AA161" s="340">
        <v>1</v>
      </c>
      <c r="AB161" s="340">
        <v>1</v>
      </c>
    </row>
    <row r="162" spans="1:30" x14ac:dyDescent="0.3">
      <c r="A162" s="119" t="s">
        <v>42</v>
      </c>
      <c r="C162" s="69">
        <f>SUM(C160*C161)</f>
        <v>130466</v>
      </c>
      <c r="E162" s="69">
        <f>SUM(E160*E161)</f>
        <v>142400</v>
      </c>
      <c r="G162" s="69">
        <f t="shared" ref="G162:I162" si="103">SUM(G160*G161)</f>
        <v>160600</v>
      </c>
      <c r="I162" s="69">
        <f t="shared" si="103"/>
        <v>168937</v>
      </c>
      <c r="J162" s="70"/>
      <c r="K162" s="71"/>
      <c r="L162" s="69">
        <f t="shared" ref="L162:AA162" si="104">SUM(L160*L161)</f>
        <v>184700</v>
      </c>
      <c r="M162" s="72"/>
      <c r="N162" s="69">
        <f t="shared" si="104"/>
        <v>209500</v>
      </c>
      <c r="O162" s="70"/>
      <c r="P162" s="70">
        <f t="shared" ref="P162" si="105">SUM(P160*P161)</f>
        <v>243796.47</v>
      </c>
      <c r="Q162" s="73"/>
      <c r="R162" s="70">
        <f t="shared" ref="R162" si="106">SUM(R160*R161)</f>
        <v>282611.34999999998</v>
      </c>
      <c r="S162" s="73"/>
      <c r="T162" s="70">
        <f t="shared" si="104"/>
        <v>340600</v>
      </c>
      <c r="U162" s="73"/>
      <c r="V162" s="313">
        <f>SUM(V160*V161)</f>
        <v>362552</v>
      </c>
      <c r="W162" s="73"/>
      <c r="X162" s="313">
        <f t="shared" si="104"/>
        <v>384675</v>
      </c>
      <c r="Y162" s="73"/>
      <c r="Z162" s="313">
        <f t="shared" si="104"/>
        <v>404929</v>
      </c>
      <c r="AA162" s="313">
        <f t="shared" si="104"/>
        <v>425304</v>
      </c>
      <c r="AB162" s="313">
        <f>SUM(AB160*AB161)</f>
        <v>445679</v>
      </c>
    </row>
    <row r="163" spans="1:30" x14ac:dyDescent="0.3">
      <c r="A163" s="119" t="s">
        <v>44</v>
      </c>
      <c r="B163" s="138"/>
      <c r="C163" s="105">
        <f>1651218.73/130466761</f>
        <v>1.2656240695666537E-2</v>
      </c>
      <c r="D163" s="138">
        <f>SUM(E163-C163)/E163</f>
        <v>-6.262980404406311E-3</v>
      </c>
      <c r="E163" s="104">
        <f>1791.03148/142400</f>
        <v>1.2577468258426967E-2</v>
      </c>
      <c r="F163" s="138">
        <f>SUM(G163-E163)/G163</f>
        <v>5.2758046385714798E-3</v>
      </c>
      <c r="G163" s="105">
        <f>2030654.74/160600000</f>
        <v>1.2644176463262765E-2</v>
      </c>
      <c r="H163" s="108">
        <f>SUM(I163-G163)/G163</f>
        <v>5.1867792740404131E-4</v>
      </c>
      <c r="I163" s="105">
        <f>2137183.37/168937490</f>
        <v>1.2650734718504461E-2</v>
      </c>
      <c r="J163" s="137"/>
      <c r="K163" s="108">
        <f>SUM(L163-I163)/I163</f>
        <v>1.8090373058002526E-2</v>
      </c>
      <c r="L163" s="233">
        <f>2378.8605/184700</f>
        <v>1.2879591229020031E-2</v>
      </c>
      <c r="M163" s="106">
        <f>SUM((N163-L163)/L163)</f>
        <v>-1.7520220751848135E-2</v>
      </c>
      <c r="N163" s="105">
        <f>2651/209500</f>
        <v>1.2653937947494033E-2</v>
      </c>
      <c r="O163" s="106">
        <f>SUM((P163-N163)/N163)</f>
        <v>3.2142361743143194E-2</v>
      </c>
      <c r="P163" s="295">
        <f>3184144.12/243796470</f>
        <v>1.3060665398477674E-2</v>
      </c>
      <c r="Q163" s="294">
        <f>SUM((R163-P163)/P163)</f>
        <v>-3.4740827887131801E-3</v>
      </c>
      <c r="R163" s="295">
        <f>3678269.12/282611350</f>
        <v>1.301529156560768E-2</v>
      </c>
      <c r="S163" s="294">
        <f>SUM((T163-R163)/R163)</f>
        <v>-4.7261037638325091E-3</v>
      </c>
      <c r="T163" s="293">
        <f>4412.05745/T162</f>
        <v>1.2953779947152085E-2</v>
      </c>
      <c r="U163" s="305">
        <f>$U$30</f>
        <v>0.01</v>
      </c>
      <c r="V163" s="318">
        <f>SUM(T163*(1+U163))</f>
        <v>1.3083317746623606E-2</v>
      </c>
      <c r="W163" s="305">
        <f>$W$30</f>
        <v>1.4999999999999999E-2</v>
      </c>
      <c r="X163" s="318">
        <f>SUM(V163*(1+W163))</f>
        <v>1.3279567512822959E-2</v>
      </c>
      <c r="Y163" s="305">
        <f>$Y$30</f>
        <v>0.02</v>
      </c>
      <c r="Z163" s="318">
        <f>SUM(X163*(1+Y163))</f>
        <v>1.3545158863079419E-2</v>
      </c>
      <c r="AA163" s="318">
        <f>SUM(Z163*(1+Y163))</f>
        <v>1.3816062040341007E-2</v>
      </c>
      <c r="AB163" s="318">
        <f>SUM(AA163*(1+Y163))</f>
        <v>1.4092383281147827E-2</v>
      </c>
    </row>
    <row r="164" spans="1:30" x14ac:dyDescent="0.3">
      <c r="A164" s="119"/>
      <c r="C164" s="109"/>
      <c r="E164" s="110"/>
      <c r="G164" s="110"/>
      <c r="I164" s="110"/>
      <c r="J164" s="139"/>
      <c r="K164" s="71"/>
      <c r="L164" s="109"/>
      <c r="M164" s="111"/>
      <c r="N164" s="110"/>
      <c r="O164" s="139"/>
      <c r="P164" s="139"/>
      <c r="Q164" s="73"/>
      <c r="R164" s="139"/>
      <c r="S164" s="73"/>
      <c r="T164" s="139"/>
      <c r="U164" s="73"/>
      <c r="V164" s="319"/>
      <c r="W164" s="73"/>
      <c r="X164" s="319"/>
      <c r="Y164" s="73"/>
      <c r="Z164" s="319"/>
      <c r="AA164" s="319"/>
      <c r="AB164" s="319"/>
    </row>
    <row r="165" spans="1:30" ht="15" thickBot="1" x14ac:dyDescent="0.35">
      <c r="A165" s="140" t="s">
        <v>45</v>
      </c>
      <c r="C165" s="112">
        <f>SUM(C162*C163)</f>
        <v>1651.2090986008304</v>
      </c>
      <c r="E165" s="112">
        <f>SUM(E162*E163)</f>
        <v>1791.0314800000001</v>
      </c>
      <c r="G165" s="112">
        <f t="shared" ref="G165:I165" si="107">SUM(G162*G163)</f>
        <v>2030.6547399999999</v>
      </c>
      <c r="I165" s="112">
        <f t="shared" si="107"/>
        <v>2137.1771711399883</v>
      </c>
      <c r="J165" s="141"/>
      <c r="K165" s="114"/>
      <c r="L165" s="248">
        <f t="shared" ref="L165:Z165" si="108">SUM(L162*L163)</f>
        <v>2378.8604999999998</v>
      </c>
      <c r="M165" s="113"/>
      <c r="N165" s="112">
        <f t="shared" si="108"/>
        <v>2651</v>
      </c>
      <c r="O165" s="141"/>
      <c r="P165" s="141">
        <f t="shared" si="108"/>
        <v>3184.1441200000004</v>
      </c>
      <c r="Q165" s="249"/>
      <c r="R165" s="141">
        <f t="shared" ref="R165" si="109">SUM(R162*R163)</f>
        <v>3678.2691199999999</v>
      </c>
      <c r="S165" s="249"/>
      <c r="T165" s="141">
        <f>SUM(T162*T163)</f>
        <v>4412.0574500000002</v>
      </c>
      <c r="U165" s="249"/>
      <c r="V165" s="320">
        <f t="shared" si="108"/>
        <v>4743.3830156738813</v>
      </c>
      <c r="W165" s="249"/>
      <c r="X165" s="320">
        <f t="shared" si="108"/>
        <v>5108.3176329951712</v>
      </c>
      <c r="Y165" s="249"/>
      <c r="Z165" s="320">
        <f t="shared" si="108"/>
        <v>5484.8276332678861</v>
      </c>
      <c r="AA165" s="320">
        <f>SUM(AA162*AA163)</f>
        <v>5876.0264500051917</v>
      </c>
      <c r="AB165" s="320">
        <f>SUM(AB162*AB163)</f>
        <v>6280.6792883586822</v>
      </c>
    </row>
    <row r="166" spans="1:30" ht="15" thickTop="1" x14ac:dyDescent="0.3">
      <c r="A166" s="250"/>
      <c r="B166" s="251"/>
      <c r="C166" s="144"/>
      <c r="D166" s="13"/>
      <c r="E166" s="116"/>
      <c r="F166" s="18"/>
      <c r="G166" s="116"/>
      <c r="H166" s="6"/>
      <c r="I166" s="144"/>
      <c r="J166" s="144"/>
      <c r="K166" s="145"/>
      <c r="L166" s="144"/>
      <c r="M166" s="144"/>
      <c r="N166" s="144"/>
      <c r="O166" s="144"/>
      <c r="P166" s="144"/>
      <c r="Q166" s="145"/>
      <c r="R166" s="144"/>
      <c r="S166" s="145"/>
      <c r="T166" s="144"/>
      <c r="U166" s="145"/>
      <c r="V166" s="144"/>
      <c r="W166" s="145"/>
      <c r="X166" s="144"/>
      <c r="Y166" s="145"/>
      <c r="Z166" s="144"/>
      <c r="AA166" s="144"/>
      <c r="AB166" s="144"/>
    </row>
    <row r="167" spans="1:30" hidden="1" x14ac:dyDescent="0.3">
      <c r="A167" s="19"/>
      <c r="B167" s="252"/>
      <c r="C167" s="20"/>
      <c r="D167" s="20"/>
      <c r="E167" s="20"/>
      <c r="F167" s="20"/>
      <c r="G167" s="20"/>
      <c r="H167" s="7"/>
      <c r="I167" s="21"/>
      <c r="J167" s="22"/>
      <c r="K167" s="8"/>
      <c r="L167" s="253"/>
      <c r="M167" s="23"/>
      <c r="N167" s="26" t="s">
        <v>0</v>
      </c>
      <c r="O167" s="254"/>
      <c r="P167" s="255" t="s">
        <v>0</v>
      </c>
      <c r="R167" s="255" t="s">
        <v>0</v>
      </c>
      <c r="T167" s="257"/>
      <c r="U167" s="4"/>
      <c r="V167" s="257"/>
      <c r="W167" s="4"/>
      <c r="X167" s="257"/>
      <c r="Y167" s="4"/>
      <c r="Z167" s="257"/>
      <c r="AA167" s="257"/>
      <c r="AB167" s="257"/>
    </row>
    <row r="168" spans="1:30" hidden="1" x14ac:dyDescent="0.3">
      <c r="A168" s="256"/>
      <c r="B168" s="27"/>
      <c r="C168" s="15"/>
      <c r="D168" s="15"/>
      <c r="E168" s="15"/>
      <c r="F168" s="15"/>
      <c r="H168" s="3"/>
      <c r="J168" s="257"/>
      <c r="K168" s="4"/>
      <c r="L168" s="258">
        <v>2014</v>
      </c>
      <c r="M168" s="24"/>
      <c r="N168" s="28">
        <v>2015</v>
      </c>
      <c r="O168" s="34"/>
      <c r="P168" s="259">
        <v>2016</v>
      </c>
      <c r="Q168" s="4"/>
      <c r="R168" s="259">
        <v>2017</v>
      </c>
      <c r="S168" s="4"/>
      <c r="T168" s="257"/>
      <c r="U168" s="4"/>
      <c r="V168" s="257"/>
      <c r="W168" s="4"/>
      <c r="X168" s="257"/>
      <c r="Y168" s="4"/>
      <c r="Z168" s="257"/>
      <c r="AA168" s="257"/>
      <c r="AB168" s="257"/>
    </row>
    <row r="169" spans="1:30" ht="15" hidden="1" thickBot="1" x14ac:dyDescent="0.35">
      <c r="A169" s="260"/>
      <c r="B169" s="27"/>
      <c r="C169" s="15"/>
      <c r="D169" s="15"/>
      <c r="E169" s="261"/>
      <c r="F169" s="15"/>
      <c r="G169" s="261"/>
      <c r="H169" s="3"/>
      <c r="I169" s="262"/>
      <c r="J169" s="261"/>
      <c r="K169" s="263"/>
      <c r="L169" s="264" t="s">
        <v>99</v>
      </c>
      <c r="M169" s="262"/>
      <c r="N169" s="33" t="s">
        <v>2</v>
      </c>
      <c r="O169" s="34"/>
      <c r="P169" s="35" t="s">
        <v>117</v>
      </c>
      <c r="Q169" s="36"/>
      <c r="R169" s="35" t="s">
        <v>132</v>
      </c>
      <c r="S169" s="36"/>
      <c r="T169" s="257"/>
      <c r="U169" s="36"/>
      <c r="V169" s="257"/>
      <c r="W169" s="36"/>
      <c r="X169" s="257"/>
      <c r="Y169" s="36"/>
      <c r="Z169" s="257"/>
      <c r="AA169" s="257"/>
      <c r="AB169" s="257"/>
    </row>
    <row r="170" spans="1:30" hidden="1" x14ac:dyDescent="0.3">
      <c r="A170" s="256"/>
      <c r="B170" s="27"/>
      <c r="C170" s="15"/>
      <c r="D170" s="15"/>
      <c r="E170" s="214"/>
      <c r="F170" s="15"/>
      <c r="G170" s="214"/>
      <c r="H170" s="3"/>
      <c r="I170" s="265"/>
      <c r="J170" s="265"/>
      <c r="K170" s="266"/>
      <c r="L170" s="265"/>
      <c r="M170" s="265"/>
      <c r="N170" s="265"/>
      <c r="O170" s="265"/>
      <c r="P170" s="265"/>
      <c r="Q170" s="266"/>
      <c r="R170" s="265"/>
      <c r="S170" s="266"/>
      <c r="T170" s="265"/>
      <c r="U170" s="266"/>
      <c r="V170" s="265"/>
      <c r="W170" s="266"/>
      <c r="X170" s="265"/>
      <c r="Y170" s="266"/>
      <c r="Z170" s="265"/>
      <c r="AA170" s="265"/>
      <c r="AB170" s="265"/>
    </row>
    <row r="171" spans="1:30" x14ac:dyDescent="0.3">
      <c r="A171" s="56" t="s">
        <v>100</v>
      </c>
      <c r="B171" s="27"/>
      <c r="C171" s="191" t="s">
        <v>101</v>
      </c>
      <c r="D171" s="15"/>
      <c r="E171" s="45" t="s">
        <v>102</v>
      </c>
      <c r="F171" s="15"/>
      <c r="G171" s="45" t="s">
        <v>102</v>
      </c>
      <c r="H171" s="3"/>
      <c r="I171" s="191" t="s">
        <v>101</v>
      </c>
      <c r="J171" s="267"/>
      <c r="K171" s="268"/>
      <c r="L171" s="191" t="s">
        <v>101</v>
      </c>
      <c r="M171" s="267"/>
      <c r="N171" s="191" t="s">
        <v>102</v>
      </c>
      <c r="O171" s="267"/>
      <c r="P171" s="296" t="s">
        <v>130</v>
      </c>
      <c r="Q171" s="268"/>
      <c r="R171" s="296" t="s">
        <v>130</v>
      </c>
      <c r="S171" s="268"/>
      <c r="T171" s="296" t="s">
        <v>130</v>
      </c>
      <c r="U171" s="268"/>
      <c r="V171" s="341" t="s">
        <v>103</v>
      </c>
      <c r="W171" s="268"/>
      <c r="X171" s="341" t="s">
        <v>103</v>
      </c>
      <c r="Y171" s="268"/>
      <c r="Z171" s="341" t="s">
        <v>103</v>
      </c>
      <c r="AA171" s="341" t="s">
        <v>103</v>
      </c>
      <c r="AB171" s="341" t="s">
        <v>103</v>
      </c>
    </row>
    <row r="172" spans="1:30" x14ac:dyDescent="0.3">
      <c r="A172" s="56"/>
      <c r="B172" s="27"/>
      <c r="C172" s="57">
        <v>2010</v>
      </c>
      <c r="D172" s="15"/>
      <c r="E172" s="57">
        <v>2011</v>
      </c>
      <c r="F172" s="15"/>
      <c r="G172" s="57">
        <v>2012</v>
      </c>
      <c r="H172" s="3"/>
      <c r="I172" s="57">
        <v>2013</v>
      </c>
      <c r="J172" s="58"/>
      <c r="K172" s="59"/>
      <c r="L172" s="57">
        <v>2014</v>
      </c>
      <c r="M172" s="58"/>
      <c r="N172" s="57">
        <v>2015</v>
      </c>
      <c r="O172" s="58"/>
      <c r="P172" s="120">
        <v>2016</v>
      </c>
      <c r="Q172" s="59"/>
      <c r="R172" s="120">
        <v>2017</v>
      </c>
      <c r="S172" s="59"/>
      <c r="T172" s="120">
        <v>2018</v>
      </c>
      <c r="U172" s="59"/>
      <c r="V172" s="301">
        <v>2019</v>
      </c>
      <c r="W172" s="59"/>
      <c r="X172" s="301">
        <v>2020</v>
      </c>
      <c r="Y172" s="59"/>
      <c r="Z172" s="301">
        <v>2021</v>
      </c>
      <c r="AA172" s="301">
        <v>2022</v>
      </c>
      <c r="AB172" s="301">
        <f>AA172+1</f>
        <v>2023</v>
      </c>
    </row>
    <row r="173" spans="1:30" x14ac:dyDescent="0.3">
      <c r="A173" s="56" t="s">
        <v>104</v>
      </c>
      <c r="B173" s="27"/>
      <c r="C173" s="61"/>
      <c r="D173" s="15"/>
      <c r="E173" s="62"/>
      <c r="F173" s="15"/>
      <c r="G173" s="61"/>
      <c r="H173" s="3"/>
      <c r="I173" s="62"/>
      <c r="J173" s="65"/>
      <c r="K173" s="64"/>
      <c r="L173" s="61"/>
      <c r="M173" s="65"/>
      <c r="N173" s="61"/>
      <c r="O173" s="65"/>
      <c r="P173" s="65"/>
      <c r="Q173" s="64"/>
      <c r="R173" s="65"/>
      <c r="S173" s="64"/>
      <c r="T173" s="65"/>
      <c r="U173" s="64"/>
      <c r="V173" s="321"/>
      <c r="W173" s="64"/>
      <c r="X173" s="321"/>
      <c r="Y173" s="64"/>
      <c r="Z173" s="321"/>
      <c r="AA173" s="321"/>
      <c r="AB173" s="321"/>
      <c r="AD173" s="11"/>
    </row>
    <row r="174" spans="1:30" x14ac:dyDescent="0.3">
      <c r="A174" s="147" t="s">
        <v>105</v>
      </c>
      <c r="B174" s="27"/>
      <c r="C174" s="269">
        <f>SUM(C32)</f>
        <v>6644.5774054519761</v>
      </c>
      <c r="D174" s="15"/>
      <c r="E174" s="269">
        <f>SUM(E32)</f>
        <v>7876.3008272199995</v>
      </c>
      <c r="F174" s="15"/>
      <c r="G174" s="269">
        <f>SUM(G32)</f>
        <v>8630.5537097419092</v>
      </c>
      <c r="H174" s="3"/>
      <c r="I174" s="269">
        <f>SUM(I32)</f>
        <v>9501.7079599999997</v>
      </c>
      <c r="J174" s="270"/>
      <c r="K174" s="271"/>
      <c r="L174" s="269">
        <f>SUM(L32)</f>
        <v>11286.939</v>
      </c>
      <c r="M174" s="270"/>
      <c r="N174" s="269">
        <f>SUM(N32)</f>
        <v>12999.765589175515</v>
      </c>
      <c r="O174" s="272"/>
      <c r="P174" s="276">
        <f>SUM(P32)</f>
        <v>12677.752</v>
      </c>
      <c r="Q174" s="273"/>
      <c r="R174" s="276">
        <f>SUM(R32)</f>
        <v>14080.649957033333</v>
      </c>
      <c r="S174" s="273"/>
      <c r="T174" s="306">
        <f>SUM(T32)</f>
        <v>14726.881307847581</v>
      </c>
      <c r="U174" s="273"/>
      <c r="V174" s="342">
        <f>SUM(V32)</f>
        <v>16176.634829065673</v>
      </c>
      <c r="W174" s="273"/>
      <c r="X174" s="342">
        <f>SUM(X32)</f>
        <v>17660.198256227395</v>
      </c>
      <c r="Y174" s="273"/>
      <c r="Z174" s="342">
        <f>SUM(Z32)</f>
        <v>19257.568208895344</v>
      </c>
      <c r="AA174" s="342">
        <f>SUM(AA32)</f>
        <v>21152.58777984617</v>
      </c>
      <c r="AB174" s="342">
        <f>SUM(AB32)</f>
        <v>23115.70510635147</v>
      </c>
      <c r="AD174" s="145"/>
    </row>
    <row r="175" spans="1:30" x14ac:dyDescent="0.3">
      <c r="A175" s="147" t="s">
        <v>106</v>
      </c>
      <c r="B175" s="27"/>
      <c r="C175" s="274"/>
      <c r="D175" s="15"/>
      <c r="E175" s="269"/>
      <c r="F175" s="15"/>
      <c r="G175" s="275"/>
      <c r="H175" s="3"/>
      <c r="I175" s="269"/>
      <c r="J175" s="276"/>
      <c r="K175" s="271"/>
      <c r="L175" s="269"/>
      <c r="M175" s="270"/>
      <c r="N175" s="275"/>
      <c r="O175" s="270"/>
      <c r="P175" s="270"/>
      <c r="Q175" s="271"/>
      <c r="R175" s="270"/>
      <c r="S175" s="271"/>
      <c r="T175" s="272"/>
      <c r="U175" s="271"/>
      <c r="V175" s="342"/>
      <c r="W175" s="271"/>
      <c r="X175" s="342"/>
      <c r="Y175" s="271"/>
      <c r="Z175" s="342"/>
      <c r="AA175" s="342"/>
      <c r="AB175" s="342"/>
      <c r="AD175" s="144"/>
    </row>
    <row r="176" spans="1:30" x14ac:dyDescent="0.3">
      <c r="A176" s="147" t="s">
        <v>107</v>
      </c>
      <c r="B176" s="27"/>
      <c r="C176" s="269">
        <f>SUM(C53)</f>
        <v>3829.9382243772443</v>
      </c>
      <c r="D176" s="15"/>
      <c r="E176" s="269">
        <f>SUM(E53)</f>
        <v>4334.8598087510027</v>
      </c>
      <c r="F176" s="15"/>
      <c r="G176" s="269">
        <f>SUM(G53)</f>
        <v>4690.254523070862</v>
      </c>
      <c r="H176" s="3"/>
      <c r="I176" s="269">
        <f>SUM(I53)</f>
        <v>5359.0285675337436</v>
      </c>
      <c r="J176" s="276"/>
      <c r="K176" s="271"/>
      <c r="L176" s="269">
        <f>SUM(L53)</f>
        <v>5440.7422465869995</v>
      </c>
      <c r="M176" s="270"/>
      <c r="N176" s="269">
        <f>SUM(N53)</f>
        <v>5717.717903841688</v>
      </c>
      <c r="O176" s="272"/>
      <c r="P176" s="276">
        <f>SUM(P53)</f>
        <v>5675.1669887565686</v>
      </c>
      <c r="Q176" s="273"/>
      <c r="R176" s="276">
        <f>SUM(R53)</f>
        <v>6132.3038800000004</v>
      </c>
      <c r="S176" s="273"/>
      <c r="T176" s="276">
        <f>SUM(T53)</f>
        <v>6201.3853499999996</v>
      </c>
      <c r="U176" s="273"/>
      <c r="V176" s="342">
        <f>SUM(V53)</f>
        <v>6811.8201993011862</v>
      </c>
      <c r="W176" s="273"/>
      <c r="X176" s="342">
        <f>SUM(X53)</f>
        <v>7434.8156859921783</v>
      </c>
      <c r="Y176" s="273"/>
      <c r="Z176" s="342">
        <f>SUM(Z53)</f>
        <v>8105.695099915677</v>
      </c>
      <c r="AA176" s="342">
        <f>SUM(AA53)</f>
        <v>8901.5087405383838</v>
      </c>
      <c r="AB176" s="342">
        <f>SUM(AB53)</f>
        <v>9725.9126487460308</v>
      </c>
      <c r="AD176" s="145"/>
    </row>
    <row r="177" spans="1:30" x14ac:dyDescent="0.3">
      <c r="A177" s="147" t="s">
        <v>108</v>
      </c>
      <c r="B177" s="27"/>
      <c r="C177" s="269">
        <f>SUM(C75)</f>
        <v>6615.1312077205384</v>
      </c>
      <c r="D177" s="15"/>
      <c r="E177" s="269">
        <f>SUM(E75)</f>
        <v>6928.9801069931073</v>
      </c>
      <c r="F177" s="15"/>
      <c r="G177" s="269">
        <f>SUM(G75)</f>
        <v>7219.74299186594</v>
      </c>
      <c r="H177" s="3"/>
      <c r="I177" s="269">
        <f>SUM(I75)</f>
        <v>8163.043288322272</v>
      </c>
      <c r="J177" s="276"/>
      <c r="K177" s="271"/>
      <c r="L177" s="269">
        <f>SUM(L75)</f>
        <v>8456.9513856009962</v>
      </c>
      <c r="M177" s="270"/>
      <c r="N177" s="277">
        <f>SUM(N75)</f>
        <v>8062.4233890853202</v>
      </c>
      <c r="O177" s="272"/>
      <c r="P177" s="276">
        <f>SUM(P75)</f>
        <v>9750.9988719237135</v>
      </c>
      <c r="Q177" s="273"/>
      <c r="R177" s="276">
        <f>SUM(R75)</f>
        <v>10423.24290762867</v>
      </c>
      <c r="S177" s="273"/>
      <c r="T177" s="276">
        <f>SUM(T75)</f>
        <v>11167.5306</v>
      </c>
      <c r="U177" s="273"/>
      <c r="V177" s="342">
        <f>SUM(V75)</f>
        <v>12028.763692634888</v>
      </c>
      <c r="W177" s="273"/>
      <c r="X177" s="342">
        <f>SUM(X75)</f>
        <v>12911.146611000037</v>
      </c>
      <c r="Y177" s="273"/>
      <c r="Z177" s="342">
        <f>SUM(Z75)</f>
        <v>13832.503247622539</v>
      </c>
      <c r="AA177" s="342">
        <f>SUM(AA75)</f>
        <v>14919.212003738023</v>
      </c>
      <c r="AB177" s="342">
        <f>SUM(AB75)</f>
        <v>16043.856108799073</v>
      </c>
      <c r="AD177" s="145"/>
    </row>
    <row r="178" spans="1:30" x14ac:dyDescent="0.3">
      <c r="A178" s="159" t="s">
        <v>109</v>
      </c>
      <c r="B178" s="27"/>
      <c r="C178" s="269">
        <f>SUM(C95)</f>
        <v>8.1994721576394003</v>
      </c>
      <c r="D178" s="15"/>
      <c r="E178" s="269">
        <f>SUM(E95)</f>
        <v>8.6360178140432993</v>
      </c>
      <c r="F178" s="15"/>
      <c r="G178" s="269">
        <f>SUM(G95)</f>
        <v>8.2702146414089999</v>
      </c>
      <c r="H178" s="3"/>
      <c r="I178" s="269">
        <f>SUM(I95)</f>
        <v>9.3172825078781703</v>
      </c>
      <c r="J178" s="276"/>
      <c r="K178" s="271"/>
      <c r="L178" s="269">
        <f>SUM(L95)</f>
        <v>11.382350000000001</v>
      </c>
      <c r="M178" s="270"/>
      <c r="N178" s="278">
        <f>SUM(N95)</f>
        <v>10.468988399999999</v>
      </c>
      <c r="O178" s="279"/>
      <c r="P178" s="279">
        <f>SUM(P95)</f>
        <v>10.51116</v>
      </c>
      <c r="Q178" s="175"/>
      <c r="R178" s="279">
        <f>SUM(R95)</f>
        <v>11.256590000000001</v>
      </c>
      <c r="S178" s="175"/>
      <c r="T178" s="279">
        <f>SUM(T95)</f>
        <v>13.17184</v>
      </c>
      <c r="U178" s="273"/>
      <c r="V178" s="343">
        <f>SUM(V95)</f>
        <v>13.303558399999998</v>
      </c>
      <c r="W178" s="273"/>
      <c r="X178" s="343">
        <f>SUM(X95)</f>
        <v>13.503111775999995</v>
      </c>
      <c r="Y178" s="273"/>
      <c r="Z178" s="343">
        <f>SUM(Z95)</f>
        <v>13.773174011519995</v>
      </c>
      <c r="AA178" s="343">
        <f>SUM(AA95)</f>
        <v>14.048637491750396</v>
      </c>
      <c r="AB178" s="343">
        <f>SUM(AB95)</f>
        <v>14.329610241585403</v>
      </c>
      <c r="AD178" s="145"/>
    </row>
    <row r="179" spans="1:30" x14ac:dyDescent="0.3">
      <c r="A179" s="159" t="s">
        <v>110</v>
      </c>
      <c r="B179" s="27"/>
      <c r="C179" s="178">
        <f>SUM(C111)</f>
        <v>1842.8801699999999</v>
      </c>
      <c r="D179" s="15"/>
      <c r="E179" s="178">
        <f>SUM(E111)</f>
        <v>2029.5941279024175</v>
      </c>
      <c r="F179" s="15"/>
      <c r="G179" s="178">
        <f>SUM(G111)</f>
        <v>1918.901132</v>
      </c>
      <c r="H179" s="3"/>
      <c r="I179" s="178">
        <f>SUM(I111)</f>
        <v>2189.4442599999998</v>
      </c>
      <c r="J179" s="179"/>
      <c r="K179" s="180"/>
      <c r="L179" s="178">
        <f>SUM(L111)</f>
        <v>2525.8229999999999</v>
      </c>
      <c r="M179" s="181"/>
      <c r="N179" s="178">
        <f>SUM(N111)</f>
        <v>2707.3523175999999</v>
      </c>
      <c r="O179" s="183"/>
      <c r="P179" s="179">
        <f>SUM(P111)</f>
        <v>2514.9974500000003</v>
      </c>
      <c r="Q179" s="55"/>
      <c r="R179" s="179">
        <f>SUM(R111)</f>
        <v>2956.1579400000001</v>
      </c>
      <c r="S179" s="55"/>
      <c r="T179" s="179">
        <f>SUM(T111)</f>
        <v>3479.2761100000002</v>
      </c>
      <c r="U179" s="273"/>
      <c r="V179" s="338">
        <f>SUM(V111)</f>
        <v>3514.0688710999998</v>
      </c>
      <c r="W179" s="273"/>
      <c r="X179" s="338">
        <f>SUM(X111)</f>
        <v>3566.7799041664994</v>
      </c>
      <c r="Y179" s="273"/>
      <c r="Z179" s="338">
        <f>SUM(Z111)</f>
        <v>3638.1155022498292</v>
      </c>
      <c r="AA179" s="338">
        <f>SUM(AA111)</f>
        <v>3710.8778122948261</v>
      </c>
      <c r="AB179" s="338">
        <f>SUM(AB111)</f>
        <v>3785.0953685407226</v>
      </c>
      <c r="AD179" s="145"/>
    </row>
    <row r="180" spans="1:30" x14ac:dyDescent="0.3">
      <c r="A180" s="56"/>
      <c r="B180" s="27"/>
      <c r="C180" s="269"/>
      <c r="D180" s="15"/>
      <c r="E180" s="269"/>
      <c r="F180" s="15"/>
      <c r="G180" s="269"/>
      <c r="H180" s="3"/>
      <c r="I180" s="269"/>
      <c r="J180" s="270"/>
      <c r="K180" s="271"/>
      <c r="L180" s="269"/>
      <c r="M180" s="270"/>
      <c r="N180" s="275"/>
      <c r="O180" s="270"/>
      <c r="P180" s="297"/>
      <c r="Q180" s="271"/>
      <c r="R180" s="297"/>
      <c r="S180" s="271"/>
      <c r="T180" s="272"/>
      <c r="U180" s="271"/>
      <c r="V180" s="342"/>
      <c r="W180" s="271"/>
      <c r="X180" s="342"/>
      <c r="Y180" s="271"/>
      <c r="Z180" s="342"/>
      <c r="AA180" s="342"/>
      <c r="AB180" s="342"/>
      <c r="AD180" s="144"/>
    </row>
    <row r="181" spans="1:30" x14ac:dyDescent="0.3">
      <c r="A181" s="147" t="s">
        <v>111</v>
      </c>
      <c r="B181" s="27"/>
      <c r="C181" s="178">
        <f>SUM(C174:C179)</f>
        <v>18940.726479707399</v>
      </c>
      <c r="D181" s="15"/>
      <c r="E181" s="178">
        <f>SUM(E174:E179)</f>
        <v>21178.370888680573</v>
      </c>
      <c r="F181" s="15"/>
      <c r="G181" s="178">
        <f t="shared" ref="G181:I181" si="110">SUM(G174:G179)</f>
        <v>22467.722571320119</v>
      </c>
      <c r="H181" s="3"/>
      <c r="I181" s="178">
        <f t="shared" si="110"/>
        <v>25222.541358363891</v>
      </c>
      <c r="J181" s="181"/>
      <c r="K181" s="180"/>
      <c r="L181" s="178">
        <f t="shared" ref="L181:AA181" si="111">SUM(L174:L179)</f>
        <v>27721.837982187997</v>
      </c>
      <c r="M181" s="181"/>
      <c r="N181" s="178">
        <f t="shared" ref="N181" si="112">SUM(N174:N179)</f>
        <v>29497.728188102526</v>
      </c>
      <c r="O181" s="280"/>
      <c r="P181" s="179">
        <f t="shared" si="111"/>
        <v>30629.426470680279</v>
      </c>
      <c r="Q181" s="281"/>
      <c r="R181" s="179">
        <f>SUM(R174:R179)</f>
        <v>33603.611274662006</v>
      </c>
      <c r="S181" s="281"/>
      <c r="T181" s="179">
        <f>SUM(T174:T179)</f>
        <v>35588.245207847584</v>
      </c>
      <c r="U181" s="273"/>
      <c r="V181" s="338">
        <f t="shared" si="111"/>
        <v>38544.591150501743</v>
      </c>
      <c r="W181" s="273"/>
      <c r="X181" s="338">
        <f t="shared" si="111"/>
        <v>41586.443569162111</v>
      </c>
      <c r="Y181" s="273"/>
      <c r="Z181" s="338">
        <f t="shared" si="111"/>
        <v>44847.65523269491</v>
      </c>
      <c r="AA181" s="338">
        <f t="shared" si="111"/>
        <v>48698.234973909159</v>
      </c>
      <c r="AB181" s="338">
        <f>SUM(AB174:AB179)</f>
        <v>52684.898842678878</v>
      </c>
      <c r="AD181" s="144"/>
    </row>
    <row r="182" spans="1:30" x14ac:dyDescent="0.3">
      <c r="A182" s="56"/>
      <c r="B182" s="27"/>
      <c r="C182" s="274"/>
      <c r="D182" s="15"/>
      <c r="E182" s="269"/>
      <c r="F182" s="15"/>
      <c r="G182" s="269"/>
      <c r="H182" s="3"/>
      <c r="I182" s="269"/>
      <c r="J182" s="270"/>
      <c r="K182" s="271"/>
      <c r="L182" s="269"/>
      <c r="M182" s="270"/>
      <c r="N182" s="269"/>
      <c r="O182" s="270"/>
      <c r="P182" s="276"/>
      <c r="Q182" s="271"/>
      <c r="R182" s="276"/>
      <c r="S182" s="271"/>
      <c r="T182" s="272"/>
      <c r="U182" s="271"/>
      <c r="V182" s="342"/>
      <c r="W182" s="271"/>
      <c r="X182" s="342"/>
      <c r="Y182" s="271"/>
      <c r="Z182" s="342"/>
      <c r="AA182" s="342"/>
      <c r="AB182" s="342"/>
      <c r="AD182" s="144"/>
    </row>
    <row r="183" spans="1:30" x14ac:dyDescent="0.3">
      <c r="A183" s="56" t="s">
        <v>112</v>
      </c>
      <c r="B183" s="27"/>
      <c r="C183" s="274"/>
      <c r="D183" s="15"/>
      <c r="E183" s="269"/>
      <c r="F183" s="15"/>
      <c r="G183" s="269"/>
      <c r="H183" s="3"/>
      <c r="I183" s="269"/>
      <c r="J183" s="270"/>
      <c r="K183" s="271"/>
      <c r="L183" s="269"/>
      <c r="M183" s="270"/>
      <c r="N183" s="269"/>
      <c r="O183" s="270"/>
      <c r="P183" s="276"/>
      <c r="Q183" s="271"/>
      <c r="R183" s="276"/>
      <c r="S183" s="271"/>
      <c r="T183" s="272"/>
      <c r="U183" s="271"/>
      <c r="V183" s="342"/>
      <c r="W183" s="271"/>
      <c r="X183" s="342"/>
      <c r="Y183" s="271"/>
      <c r="Z183" s="342"/>
      <c r="AA183" s="342"/>
      <c r="AB183" s="342"/>
      <c r="AD183" s="144"/>
    </row>
    <row r="184" spans="1:30" x14ac:dyDescent="0.3">
      <c r="A184" s="147" t="s">
        <v>113</v>
      </c>
      <c r="B184" s="27"/>
      <c r="C184" s="269">
        <f>SUM(C130)</f>
        <v>1843</v>
      </c>
      <c r="D184" s="15"/>
      <c r="E184" s="269">
        <f>SUM(E130)</f>
        <v>1939.7429074619999</v>
      </c>
      <c r="F184" s="15"/>
      <c r="G184" s="269">
        <f>SUM(G130)</f>
        <v>2238.4238615852555</v>
      </c>
      <c r="H184" s="3"/>
      <c r="I184" s="269">
        <f>SUM(I130)</f>
        <v>2444.3019199999999</v>
      </c>
      <c r="J184" s="270"/>
      <c r="K184" s="271"/>
      <c r="L184" s="269">
        <f>SUM(L130)</f>
        <v>2941.3620000000001</v>
      </c>
      <c r="M184" s="270"/>
      <c r="N184" s="269">
        <f>SUM(N130)</f>
        <v>2778.7148000000002</v>
      </c>
      <c r="O184" s="272"/>
      <c r="P184" s="276">
        <f>SUM(P130)</f>
        <v>2723.0960382527305</v>
      </c>
      <c r="Q184" s="273"/>
      <c r="R184" s="276">
        <f>SUM(R130)</f>
        <v>3018.7944147768244</v>
      </c>
      <c r="S184" s="273"/>
      <c r="T184" s="306">
        <f>SUM(T130)</f>
        <v>3836.8046227566497</v>
      </c>
      <c r="U184" s="273"/>
      <c r="V184" s="342">
        <f>SUM(V130)</f>
        <v>4097.5034710674299</v>
      </c>
      <c r="W184" s="273"/>
      <c r="X184" s="342">
        <f>SUM(X130)</f>
        <v>4438.488647809455</v>
      </c>
      <c r="Y184" s="273"/>
      <c r="Z184" s="342">
        <f>SUM(Z130)</f>
        <v>4759.2997710701065</v>
      </c>
      <c r="AA184" s="342">
        <f>SUM(AA130)</f>
        <v>5093.2568009835568</v>
      </c>
      <c r="AB184" s="342">
        <f>SUM(AB130)</f>
        <v>5438.6683921851172</v>
      </c>
      <c r="AD184" s="145"/>
    </row>
    <row r="185" spans="1:30" x14ac:dyDescent="0.3">
      <c r="A185" s="147" t="s">
        <v>107</v>
      </c>
      <c r="B185" s="27"/>
      <c r="C185" s="269">
        <f>SUM(C147)</f>
        <v>802.70764039063442</v>
      </c>
      <c r="D185" s="15"/>
      <c r="E185" s="269">
        <f>SUM(E147)</f>
        <v>856.09079069341112</v>
      </c>
      <c r="F185" s="15"/>
      <c r="G185" s="269">
        <f>SUM(G147)</f>
        <v>1112.580366038414</v>
      </c>
      <c r="H185" s="3"/>
      <c r="I185" s="269">
        <f>SUM(I147)</f>
        <v>1255.1733400000001</v>
      </c>
      <c r="J185" s="276"/>
      <c r="K185" s="271"/>
      <c r="L185" s="269">
        <f>SUM(L147)</f>
        <v>1336.7211187574665</v>
      </c>
      <c r="M185" s="270"/>
      <c r="N185" s="269">
        <f>SUM(N147)</f>
        <v>1396.8021189769413</v>
      </c>
      <c r="O185" s="272"/>
      <c r="P185" s="276">
        <f>SUM(P147)</f>
        <v>1470.0476900000001</v>
      </c>
      <c r="Q185" s="273"/>
      <c r="R185" s="276">
        <f>SUM(R147)</f>
        <v>1640.8960900000002</v>
      </c>
      <c r="S185" s="273"/>
      <c r="T185" s="276">
        <f>SUM(T147)</f>
        <v>1765.7096300000001</v>
      </c>
      <c r="U185" s="273"/>
      <c r="V185" s="342">
        <f>SUM(V147)</f>
        <v>1879.2710451087662</v>
      </c>
      <c r="W185" s="273"/>
      <c r="X185" s="342">
        <f>SUM(X147)</f>
        <v>2026.3679327527882</v>
      </c>
      <c r="Y185" s="273"/>
      <c r="Z185" s="342">
        <f>SUM(Z147)</f>
        <v>2165.6047665462388</v>
      </c>
      <c r="AA185" s="342">
        <f>SUM(AA147)</f>
        <v>2310.4891181238913</v>
      </c>
      <c r="AB185" s="342">
        <f>SUM(AB147)</f>
        <v>2460.3026018580322</v>
      </c>
      <c r="AD185" s="145"/>
    </row>
    <row r="186" spans="1:30" x14ac:dyDescent="0.3">
      <c r="A186" s="147" t="s">
        <v>114</v>
      </c>
      <c r="B186" s="27"/>
      <c r="C186" s="269">
        <f>SUM(C165)</f>
        <v>1651.2090986008304</v>
      </c>
      <c r="D186" s="15"/>
      <c r="E186" s="269">
        <f>SUM(E165)</f>
        <v>1791.0314800000001</v>
      </c>
      <c r="F186" s="15"/>
      <c r="G186" s="269">
        <f>SUM(G165)</f>
        <v>2030.6547399999999</v>
      </c>
      <c r="H186" s="3"/>
      <c r="I186" s="269">
        <f>SUM(I165)</f>
        <v>2137.1771711399883</v>
      </c>
      <c r="J186" s="276"/>
      <c r="K186" s="271"/>
      <c r="L186" s="269">
        <f>SUM(L165)</f>
        <v>2378.8604999999998</v>
      </c>
      <c r="M186" s="270"/>
      <c r="N186" s="269">
        <f>SUM(N165)</f>
        <v>2651</v>
      </c>
      <c r="O186" s="276"/>
      <c r="P186" s="276">
        <f>SUM(P165)</f>
        <v>3184.1441200000004</v>
      </c>
      <c r="Q186" s="175"/>
      <c r="R186" s="276">
        <f>SUM(R165)</f>
        <v>3678.2691199999999</v>
      </c>
      <c r="S186" s="175"/>
      <c r="T186" s="276">
        <f>SUM(T165)</f>
        <v>4412.0574500000002</v>
      </c>
      <c r="U186" s="273"/>
      <c r="V186" s="342">
        <f>SUM(V165)</f>
        <v>4743.3830156738813</v>
      </c>
      <c r="W186" s="273"/>
      <c r="X186" s="342">
        <f>SUM(X165)</f>
        <v>5108.3176329951712</v>
      </c>
      <c r="Y186" s="273"/>
      <c r="Z186" s="342">
        <f>SUM(Z165)</f>
        <v>5484.8276332678861</v>
      </c>
      <c r="AA186" s="342">
        <f>SUM(AA165)</f>
        <v>5876.0264500051917</v>
      </c>
      <c r="AB186" s="342">
        <f>SUM(AB165)</f>
        <v>6280.6792883586822</v>
      </c>
      <c r="AD186" s="145"/>
    </row>
    <row r="187" spans="1:30" x14ac:dyDescent="0.3">
      <c r="A187" s="56" t="s">
        <v>43</v>
      </c>
      <c r="B187" s="27"/>
      <c r="C187" s="178">
        <v>0</v>
      </c>
      <c r="D187" s="15"/>
      <c r="E187" s="178">
        <v>0</v>
      </c>
      <c r="F187" s="15"/>
      <c r="G187" s="178">
        <v>0</v>
      </c>
      <c r="H187" s="3"/>
      <c r="I187" s="178">
        <v>0</v>
      </c>
      <c r="J187" s="179"/>
      <c r="K187" s="180"/>
      <c r="L187" s="178">
        <v>0</v>
      </c>
      <c r="M187" s="181"/>
      <c r="N187" s="178">
        <v>0</v>
      </c>
      <c r="O187" s="181"/>
      <c r="P187" s="179">
        <v>0</v>
      </c>
      <c r="Q187" s="180"/>
      <c r="R187" s="179">
        <v>0</v>
      </c>
      <c r="S187" s="180"/>
      <c r="T187" s="179">
        <v>0</v>
      </c>
      <c r="U187" s="273"/>
      <c r="V187" s="338">
        <v>0</v>
      </c>
      <c r="W187" s="273"/>
      <c r="X187" s="338">
        <v>0</v>
      </c>
      <c r="Y187" s="273"/>
      <c r="Z187" s="338">
        <v>0</v>
      </c>
      <c r="AA187" s="338">
        <v>0</v>
      </c>
      <c r="AB187" s="338">
        <v>0</v>
      </c>
      <c r="AD187" s="144"/>
    </row>
    <row r="188" spans="1:30" x14ac:dyDescent="0.3">
      <c r="A188" s="147" t="s">
        <v>111</v>
      </c>
      <c r="B188" s="27"/>
      <c r="C188" s="269"/>
      <c r="D188" s="15"/>
      <c r="E188" s="269"/>
      <c r="F188" s="15"/>
      <c r="G188" s="269"/>
      <c r="H188" s="3"/>
      <c r="I188" s="269"/>
      <c r="J188" s="270"/>
      <c r="K188" s="271"/>
      <c r="L188" s="269"/>
      <c r="M188" s="270"/>
      <c r="N188" s="269"/>
      <c r="O188" s="270"/>
      <c r="P188" s="276"/>
      <c r="Q188" s="271"/>
      <c r="R188" s="276"/>
      <c r="S188" s="271"/>
      <c r="T188" s="272"/>
      <c r="U188" s="271"/>
      <c r="V188" s="342"/>
      <c r="W188" s="271"/>
      <c r="X188" s="342"/>
      <c r="Y188" s="271"/>
      <c r="Z188" s="342"/>
      <c r="AA188" s="342"/>
      <c r="AB188" s="342"/>
      <c r="AD188" s="27"/>
    </row>
    <row r="189" spans="1:30" x14ac:dyDescent="0.3">
      <c r="A189" s="56"/>
      <c r="B189" s="27"/>
      <c r="C189" s="178">
        <f>SUM(C184:C186)</f>
        <v>4296.9167389914646</v>
      </c>
      <c r="D189" s="15"/>
      <c r="E189" s="178">
        <f>SUM(E184:E186)</f>
        <v>4586.8651781554108</v>
      </c>
      <c r="F189" s="15"/>
      <c r="G189" s="178">
        <f t="shared" ref="G189:I189" si="113">SUM(G184:G186)</f>
        <v>5381.658967623669</v>
      </c>
      <c r="H189" s="3"/>
      <c r="I189" s="178">
        <f t="shared" si="113"/>
        <v>5836.652431139988</v>
      </c>
      <c r="J189" s="181"/>
      <c r="K189" s="180"/>
      <c r="L189" s="178">
        <f t="shared" ref="L189:AA189" si="114">SUM(L184:L186)</f>
        <v>6656.9436187574665</v>
      </c>
      <c r="M189" s="181"/>
      <c r="N189" s="178">
        <f t="shared" ref="N189" si="115">SUM(N184:N186)</f>
        <v>6826.5169189769413</v>
      </c>
      <c r="O189" s="181"/>
      <c r="P189" s="179">
        <f t="shared" si="114"/>
        <v>7377.2878482527303</v>
      </c>
      <c r="Q189" s="180"/>
      <c r="R189" s="179">
        <f>SUM(R184:R186)</f>
        <v>8337.9596247768241</v>
      </c>
      <c r="S189" s="180"/>
      <c r="T189" s="179">
        <f>SUM(T184:T186)</f>
        <v>10014.57170275665</v>
      </c>
      <c r="U189" s="273"/>
      <c r="V189" s="338">
        <f t="shared" si="114"/>
        <v>10720.157531850076</v>
      </c>
      <c r="W189" s="273"/>
      <c r="X189" s="338">
        <f t="shared" si="114"/>
        <v>11573.174213557413</v>
      </c>
      <c r="Y189" s="273"/>
      <c r="Z189" s="338">
        <f t="shared" si="114"/>
        <v>12409.732170884232</v>
      </c>
      <c r="AA189" s="338">
        <f t="shared" si="114"/>
        <v>13279.772369112641</v>
      </c>
      <c r="AB189" s="338">
        <f t="shared" ref="AB189" si="116">SUM(AB184:AB186)</f>
        <v>14179.650282401832</v>
      </c>
    </row>
    <row r="190" spans="1:30" x14ac:dyDescent="0.3">
      <c r="A190" s="56" t="s">
        <v>115</v>
      </c>
      <c r="B190" s="27"/>
      <c r="C190" s="269"/>
      <c r="D190" s="15"/>
      <c r="E190" s="269"/>
      <c r="F190" s="15"/>
      <c r="G190" s="269"/>
      <c r="H190" s="3"/>
      <c r="I190" s="269"/>
      <c r="J190" s="270"/>
      <c r="K190" s="271"/>
      <c r="L190" s="275"/>
      <c r="M190" s="270"/>
      <c r="N190" s="277"/>
      <c r="O190" s="270"/>
      <c r="P190" s="297"/>
      <c r="Q190" s="271"/>
      <c r="R190" s="297"/>
      <c r="S190" s="271"/>
      <c r="T190" s="270"/>
      <c r="U190" s="271"/>
      <c r="V190" s="342"/>
      <c r="W190" s="271"/>
      <c r="X190" s="342"/>
      <c r="Y190" s="271"/>
      <c r="Z190" s="342"/>
      <c r="AA190" s="342"/>
      <c r="AB190" s="342"/>
    </row>
    <row r="191" spans="1:30" ht="15" thickBot="1" x14ac:dyDescent="0.35">
      <c r="A191" s="56"/>
      <c r="B191" s="27"/>
      <c r="C191" s="112">
        <f>SUM(C181+C189)</f>
        <v>23237.643218698864</v>
      </c>
      <c r="D191" s="15"/>
      <c r="E191" s="112">
        <f>SUM(E181+E189)</f>
        <v>25765.236066835983</v>
      </c>
      <c r="F191" s="15"/>
      <c r="G191" s="112">
        <f>SUM(G181+G189)</f>
        <v>27849.381538943788</v>
      </c>
      <c r="H191" s="3"/>
      <c r="I191" s="112">
        <f>SUM(I181+I189)</f>
        <v>31059.193789503879</v>
      </c>
      <c r="J191" s="113"/>
      <c r="K191" s="114"/>
      <c r="L191" s="112">
        <f>SUM(L181+L189)</f>
        <v>34378.781600945462</v>
      </c>
      <c r="M191" s="113"/>
      <c r="N191" s="282">
        <f>SUM(N181+N189)</f>
        <v>36324.24510707947</v>
      </c>
      <c r="O191" s="113"/>
      <c r="P191" s="141">
        <f>SUM(P181+P189)</f>
        <v>38006.714318933009</v>
      </c>
      <c r="Q191" s="114"/>
      <c r="R191" s="141">
        <f>SUM(R181+R189)</f>
        <v>41941.570899438826</v>
      </c>
      <c r="S191" s="114"/>
      <c r="T191" s="141">
        <f>SUM(T181+T189)</f>
        <v>45602.816910604233</v>
      </c>
      <c r="U191" s="273"/>
      <c r="V191" s="320">
        <f>SUM(V181+V189)</f>
        <v>49264.748682351819</v>
      </c>
      <c r="W191" s="273"/>
      <c r="X191" s="320">
        <f>SUM(X181+X189)</f>
        <v>53159.617782719521</v>
      </c>
      <c r="Y191" s="273"/>
      <c r="Z191" s="320">
        <f>SUM(Z181+Z189)</f>
        <v>57257.387403579138</v>
      </c>
      <c r="AA191" s="320">
        <f>SUM(AA181+AA189)</f>
        <v>61978.007343021804</v>
      </c>
      <c r="AB191" s="320">
        <f>SUM(AB181+AB189)</f>
        <v>66864.54912508071</v>
      </c>
    </row>
    <row r="192" spans="1:30" ht="15" thickTop="1" x14ac:dyDescent="0.3">
      <c r="A192" s="56"/>
      <c r="B192" s="27"/>
      <c r="C192" s="283"/>
      <c r="D192" s="15"/>
      <c r="E192" s="284"/>
      <c r="F192" s="15"/>
      <c r="G192" s="285"/>
      <c r="H192" s="3"/>
      <c r="I192" s="285"/>
      <c r="J192" s="285"/>
      <c r="K192" s="286"/>
      <c r="L192" s="285"/>
      <c r="M192" s="285"/>
      <c r="N192" s="285"/>
      <c r="O192" s="285"/>
      <c r="P192" s="285"/>
      <c r="Q192" s="286"/>
      <c r="R192" s="285"/>
      <c r="S192" s="286"/>
      <c r="T192" s="285"/>
      <c r="U192" s="286"/>
      <c r="V192" s="285" t="s">
        <v>142</v>
      </c>
      <c r="W192" s="286"/>
      <c r="X192" s="285" t="s">
        <v>143</v>
      </c>
      <c r="Y192" s="286"/>
      <c r="Z192" s="285" t="s">
        <v>116</v>
      </c>
      <c r="AA192" s="285" t="s">
        <v>116</v>
      </c>
      <c r="AB192" s="285" t="s">
        <v>116</v>
      </c>
    </row>
    <row r="193" spans="1:28" x14ac:dyDescent="0.3">
      <c r="A193" s="25"/>
      <c r="B193" s="287"/>
      <c r="C193" s="288" t="e">
        <f>SUM(C191-#REF!)</f>
        <v>#REF!</v>
      </c>
      <c r="D193" s="18"/>
      <c r="E193" s="289">
        <f>SUM(E191-C191)</f>
        <v>2527.5928481371193</v>
      </c>
      <c r="F193" s="18"/>
      <c r="G193" s="289">
        <f>SUM(G191-E191)</f>
        <v>2084.1454721078044</v>
      </c>
      <c r="H193" s="6"/>
      <c r="I193" s="289">
        <f>SUM(I191-G191)</f>
        <v>3209.8122505600913</v>
      </c>
      <c r="J193" s="289"/>
      <c r="K193" s="290"/>
      <c r="L193" s="289">
        <f>SUM(L191-I191)</f>
        <v>3319.5878114415827</v>
      </c>
      <c r="M193" s="289"/>
      <c r="N193" s="289">
        <f>SUM(N191-L191)</f>
        <v>1945.4635061340086</v>
      </c>
      <c r="O193" s="289"/>
      <c r="P193" s="289">
        <f>SUM(P191-N191)</f>
        <v>1682.4692118535386</v>
      </c>
      <c r="Q193" s="290"/>
      <c r="R193" s="289">
        <f>SUM(R191-P191)</f>
        <v>3934.856580505817</v>
      </c>
      <c r="S193" s="290"/>
      <c r="T193" s="289">
        <f>SUM(T191-R191)</f>
        <v>3661.2460111654073</v>
      </c>
      <c r="U193" s="290"/>
      <c r="V193" s="289">
        <f>SUM(V191-T191)</f>
        <v>3661.931771747586</v>
      </c>
      <c r="W193" s="290"/>
      <c r="X193" s="289">
        <f>SUM(X191-V191)</f>
        <v>3894.8691003677013</v>
      </c>
      <c r="Y193" s="290"/>
      <c r="Z193" s="289">
        <f>SUM(Z191-X191)</f>
        <v>4097.7696208596171</v>
      </c>
      <c r="AA193" s="289">
        <f>SUM(AA191-Z191)</f>
        <v>4720.6199394426658</v>
      </c>
      <c r="AB193" s="289">
        <f>SUM(AB191-AA191)</f>
        <v>4886.5417820589064</v>
      </c>
    </row>
    <row r="194" spans="1:28" x14ac:dyDescent="0.3">
      <c r="G194" s="11"/>
      <c r="I194" s="11"/>
      <c r="J194" s="11"/>
      <c r="K194" s="291"/>
      <c r="L194" s="11"/>
      <c r="M194" s="11"/>
      <c r="N194" s="11"/>
      <c r="O194" s="11"/>
      <c r="P194" s="11"/>
      <c r="Q194" s="291"/>
      <c r="R194" s="11"/>
      <c r="S194" s="291"/>
      <c r="T194" s="11"/>
      <c r="U194" s="291"/>
      <c r="W194" s="291"/>
      <c r="Y194" s="291"/>
    </row>
    <row r="195" spans="1:28" x14ac:dyDescent="0.3">
      <c r="V195" s="10"/>
      <c r="X195" s="10"/>
      <c r="Z195" s="10"/>
      <c r="AA195" s="10"/>
      <c r="AB195" s="10"/>
    </row>
  </sheetData>
  <pageMargins left="0.7" right="0.7" top="0.75" bottom="0.75" header="0.3" footer="0.3"/>
  <pageSetup paperSize="5" scale="75" fitToHeight="0" orientation="landscape" r:id="rId1"/>
  <rowBreaks count="4" manualBreakCount="4">
    <brk id="33" max="16383" man="1"/>
    <brk id="76" max="16383" man="1"/>
    <brk id="113" max="16383" man="1"/>
    <brk id="148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B56ABC3-E758-4CCD-B1C3-8D1FCED77CE9}"/>
</file>

<file path=customXml/itemProps2.xml><?xml version="1.0" encoding="utf-8"?>
<ds:datastoreItem xmlns:ds="http://schemas.openxmlformats.org/officeDocument/2006/customXml" ds:itemID="{5B2673A1-1AE1-4D38-AD9C-8FA5652AD0EC}"/>
</file>

<file path=customXml/itemProps3.xml><?xml version="1.0" encoding="utf-8"?>
<ds:datastoreItem xmlns:ds="http://schemas.openxmlformats.org/officeDocument/2006/customXml" ds:itemID="{D72CA978-C619-4325-8515-0CB2E7AF83CF}"/>
</file>

<file path=customXml/itemProps4.xml><?xml version="1.0" encoding="utf-8"?>
<ds:datastoreItem xmlns:ds="http://schemas.openxmlformats.org/officeDocument/2006/customXml" ds:itemID="{A7E905EE-CCFA-4830-B75F-9DD16EF09E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Revision 01.10.19 wout % Increa</vt:lpstr>
      <vt:lpstr>Revision 01.10.19</vt:lpstr>
      <vt:lpstr>'Revision 01.10.19 wout % Increa'!Print_Area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2019-02-04T16:57:12Z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