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Balances'!$A$1:$H$197</definedName>
    <definedName name="_xlnm.Print_Area" localSheetId="4">'Interest Reconciliation'!$A$1:$R$121</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O74" i="7" l="1"/>
  <c r="F74" i="7"/>
  <c r="O56" i="7"/>
  <c r="F56" i="7"/>
  <c r="N110" i="7"/>
  <c r="N111" i="7"/>
  <c r="N109" i="7"/>
  <c r="E110" i="7"/>
  <c r="E111" i="7"/>
  <c r="E109" i="7"/>
  <c r="N94" i="7"/>
  <c r="N95" i="7"/>
  <c r="N93" i="7"/>
  <c r="E94" i="7"/>
  <c r="E95" i="7"/>
  <c r="E93" i="7"/>
  <c r="L42" i="7"/>
  <c r="L43" i="7"/>
  <c r="L41" i="7"/>
  <c r="C42" i="7"/>
  <c r="C43" i="7"/>
  <c r="C41" i="7"/>
  <c r="L26" i="7"/>
  <c r="L27" i="7"/>
  <c r="L25" i="7"/>
  <c r="C26" i="7"/>
  <c r="C27" i="7"/>
  <c r="C25" i="7"/>
  <c r="J86" i="3" l="1"/>
  <c r="K86" i="3"/>
  <c r="J90" i="3" l="1"/>
  <c r="K90" i="3" s="1"/>
  <c r="J87" i="3"/>
  <c r="H102" i="7" l="1"/>
  <c r="J92" i="3" l="1"/>
  <c r="J91" i="3"/>
  <c r="J88" i="3"/>
  <c r="K88" i="3" l="1"/>
  <c r="H103" i="7"/>
  <c r="H104" i="7" s="1"/>
  <c r="O15" i="7"/>
  <c r="F15" i="7"/>
  <c r="F14" i="7"/>
  <c r="F13" i="7"/>
  <c r="K87" i="3"/>
  <c r="F12" i="7" l="1"/>
  <c r="H144" i="7" l="1"/>
  <c r="Q144"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3" i="7"/>
  <c r="D93" i="7" s="1"/>
  <c r="F93" i="7" s="1"/>
  <c r="A92" i="7"/>
  <c r="J92" i="7" s="1"/>
  <c r="H79" i="7"/>
  <c r="Q79" i="7" s="1"/>
  <c r="H76" i="7"/>
  <c r="D76" i="7" s="1"/>
  <c r="F76" i="7" s="1"/>
  <c r="A75" i="7"/>
  <c r="J75" i="7" s="1"/>
  <c r="A74" i="7"/>
  <c r="H61" i="7"/>
  <c r="Q61" i="7" s="1"/>
  <c r="H58" i="7"/>
  <c r="D58" i="7" s="1"/>
  <c r="F58" i="7" s="1"/>
  <c r="J57" i="7"/>
  <c r="A56" i="7"/>
  <c r="J56" i="7" s="1"/>
  <c r="H44" i="7"/>
  <c r="Q44" i="7" s="1"/>
  <c r="H41" i="7"/>
  <c r="A40" i="7"/>
  <c r="A41" i="7" s="1"/>
  <c r="A42" i="7" s="1"/>
  <c r="A36" i="7"/>
  <c r="J36" i="7" s="1"/>
  <c r="A35" i="7"/>
  <c r="J35" i="7" s="1"/>
  <c r="A34" i="7"/>
  <c r="J34" i="7" s="1"/>
  <c r="A33" i="7"/>
  <c r="J33" i="7" s="1"/>
  <c r="A32" i="7"/>
  <c r="J32" i="7" s="1"/>
  <c r="A31" i="7"/>
  <c r="J31" i="7" s="1"/>
  <c r="A30" i="7"/>
  <c r="J30" i="7" s="1"/>
  <c r="H29" i="7"/>
  <c r="H97" i="7" s="1"/>
  <c r="Q97" i="7" s="1"/>
  <c r="A29" i="7"/>
  <c r="J29" i="7" s="1"/>
  <c r="Q28" i="7"/>
  <c r="A28" i="7"/>
  <c r="J28" i="7" s="1"/>
  <c r="A27" i="7"/>
  <c r="J27" i="7" s="1"/>
  <c r="J26" i="7"/>
  <c r="H26" i="7"/>
  <c r="H27" i="7" s="1"/>
  <c r="A26" i="7"/>
  <c r="Q25" i="7"/>
  <c r="M25" i="7" s="1"/>
  <c r="J25" i="7"/>
  <c r="D25" i="7"/>
  <c r="F25" i="7" s="1"/>
  <c r="A25" i="7"/>
  <c r="J24" i="7"/>
  <c r="N20" i="7"/>
  <c r="M20" i="7"/>
  <c r="E20" i="7"/>
  <c r="D20" i="7"/>
  <c r="N19" i="7"/>
  <c r="M19" i="7"/>
  <c r="E19" i="7"/>
  <c r="D19" i="7"/>
  <c r="N18" i="7"/>
  <c r="M18" i="7"/>
  <c r="E18" i="7"/>
  <c r="D18" i="7"/>
  <c r="N17" i="7"/>
  <c r="M17" i="7"/>
  <c r="E17" i="7"/>
  <c r="D17" i="7"/>
  <c r="O16" i="7"/>
  <c r="J16" i="7"/>
  <c r="F16" i="7"/>
  <c r="J15" i="7"/>
  <c r="O14" i="7"/>
  <c r="J14" i="7"/>
  <c r="O13" i="7"/>
  <c r="J13" i="7"/>
  <c r="O12" i="7"/>
  <c r="J12" i="7"/>
  <c r="O11" i="7"/>
  <c r="J11" i="7"/>
  <c r="F11" i="7"/>
  <c r="O10" i="7"/>
  <c r="J10" i="7"/>
  <c r="F10" i="7"/>
  <c r="O9" i="7"/>
  <c r="J9" i="7"/>
  <c r="F9" i="7"/>
  <c r="O8" i="7"/>
  <c r="J8" i="7"/>
  <c r="F8" i="7"/>
  <c r="O7" i="7"/>
  <c r="J7" i="7"/>
  <c r="F7" i="7"/>
  <c r="O6" i="7"/>
  <c r="J6" i="7"/>
  <c r="F6" i="7"/>
  <c r="O5" i="7"/>
  <c r="J5" i="7"/>
  <c r="F5" i="7"/>
  <c r="D26" i="7" l="1"/>
  <c r="F17" i="7"/>
  <c r="Q93" i="7"/>
  <c r="M93" i="7" s="1"/>
  <c r="O93" i="7" s="1"/>
  <c r="H77" i="7"/>
  <c r="Q77" i="7" s="1"/>
  <c r="O17" i="7"/>
  <c r="Q58" i="7"/>
  <c r="M58" i="7" s="1"/>
  <c r="H94" i="7"/>
  <c r="Q94" i="7" s="1"/>
  <c r="H142" i="7"/>
  <c r="Q142" i="7" s="1"/>
  <c r="F18" i="7"/>
  <c r="Q26" i="7"/>
  <c r="H59" i="7"/>
  <c r="Q59" i="7" s="1"/>
  <c r="J41" i="7"/>
  <c r="H62" i="7"/>
  <c r="Q62" i="7" s="1"/>
  <c r="A93" i="7"/>
  <c r="F19" i="7"/>
  <c r="O18" i="7"/>
  <c r="F20" i="7"/>
  <c r="H42" i="7"/>
  <c r="Q42" i="7" s="1"/>
  <c r="A58" i="7"/>
  <c r="J58" i="7" s="1"/>
  <c r="H43" i="7"/>
  <c r="Q43" i="7" s="1"/>
  <c r="H78" i="7"/>
  <c r="Q78" i="7" s="1"/>
  <c r="Q27" i="7"/>
  <c r="H80" i="7"/>
  <c r="Q80" i="7" s="1"/>
  <c r="H145" i="7"/>
  <c r="Q145" i="7" s="1"/>
  <c r="J40" i="7"/>
  <c r="H45" i="7"/>
  <c r="Q45" i="7" s="1"/>
  <c r="A141" i="7"/>
  <c r="J42" i="7"/>
  <c r="A43" i="7"/>
  <c r="D41" i="7"/>
  <c r="Q41" i="7"/>
  <c r="M41" i="7" s="1"/>
  <c r="O41" i="7" s="1"/>
  <c r="A59" i="7"/>
  <c r="O25" i="7"/>
  <c r="H127" i="7"/>
  <c r="Q127" i="7" s="1"/>
  <c r="H111" i="7"/>
  <c r="Q111" i="7" s="1"/>
  <c r="H143" i="7"/>
  <c r="Q143" i="7" s="1"/>
  <c r="H95" i="7"/>
  <c r="Q95" i="7" s="1"/>
  <c r="H60" i="7"/>
  <c r="Q60" i="7" s="1"/>
  <c r="A76" i="7"/>
  <c r="J74" i="7"/>
  <c r="O19" i="7"/>
  <c r="Q76" i="7"/>
  <c r="M76" i="7" s="1"/>
  <c r="O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D77" i="7" l="1"/>
  <c r="M94" i="7"/>
  <c r="O94" i="7" s="1"/>
  <c r="O58" i="7"/>
  <c r="M59" i="7" s="1"/>
  <c r="O59" i="7" s="1"/>
  <c r="M60" i="7" s="1"/>
  <c r="O60" i="7" s="1"/>
  <c r="D59" i="7"/>
  <c r="C5" i="7"/>
  <c r="J141" i="7"/>
  <c r="A142" i="7"/>
  <c r="M77" i="7"/>
  <c r="O77" i="7" s="1"/>
  <c r="D95" i="7"/>
  <c r="F95" i="7" s="1"/>
  <c r="M111" i="7"/>
  <c r="O111" i="7" s="1"/>
  <c r="M95" i="7"/>
  <c r="O95" i="7" s="1"/>
  <c r="J125" i="7"/>
  <c r="A126" i="7"/>
  <c r="M127" i="7"/>
  <c r="O127" i="7" s="1"/>
  <c r="F77" i="7"/>
  <c r="M42" i="7"/>
  <c r="O42" i="7" s="1"/>
  <c r="A44" i="7"/>
  <c r="J43" i="7"/>
  <c r="M142" i="7"/>
  <c r="O142" i="7" s="1"/>
  <c r="A77" i="7"/>
  <c r="J76" i="7"/>
  <c r="L5" i="7"/>
  <c r="Q5" i="7" s="1"/>
  <c r="F41"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F59" i="7" l="1"/>
  <c r="D60" i="7" s="1"/>
  <c r="F60" i="7" s="1"/>
  <c r="D61" i="7" s="1"/>
  <c r="F61" i="7" s="1"/>
  <c r="J142" i="7"/>
  <c r="A143" i="7"/>
  <c r="M96" i="7"/>
  <c r="O96" i="7" s="1"/>
  <c r="M112" i="7"/>
  <c r="O112" i="7" s="1"/>
  <c r="D143" i="7"/>
  <c r="F143" i="7" s="1"/>
  <c r="D78" i="7"/>
  <c r="F78" i="7" s="1"/>
  <c r="M61" i="7"/>
  <c r="O61" i="7" s="1"/>
  <c r="D96" i="7"/>
  <c r="F96" i="7" s="1"/>
  <c r="D27" i="7"/>
  <c r="J110" i="7"/>
  <c r="A111" i="7"/>
  <c r="D111" i="7"/>
  <c r="F111" i="7" s="1"/>
  <c r="M27" i="7"/>
  <c r="A127" i="7"/>
  <c r="J126" i="7"/>
  <c r="M78" i="7"/>
  <c r="O78" i="7" s="1"/>
  <c r="J60" i="7"/>
  <c r="A61" i="7"/>
  <c r="J95" i="7"/>
  <c r="A96" i="7"/>
  <c r="H5" i="7"/>
  <c r="A78" i="7"/>
  <c r="J77" i="7"/>
  <c r="J44" i="7"/>
  <c r="A45" i="7"/>
  <c r="D42" i="7"/>
  <c r="C6" i="7" s="1"/>
  <c r="H6" i="7" s="1"/>
  <c r="M143" i="7"/>
  <c r="O143" i="7" s="1"/>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F42" i="7" l="1"/>
  <c r="D43" i="7" s="1"/>
  <c r="F43" i="7" s="1"/>
  <c r="D44" i="7" s="1"/>
  <c r="D97" i="7"/>
  <c r="F97" i="7" s="1"/>
  <c r="D98" i="7" s="1"/>
  <c r="J143" i="7"/>
  <c r="A144" i="7"/>
  <c r="D62" i="7"/>
  <c r="F62" i="7" s="1"/>
  <c r="M113" i="7"/>
  <c r="O113" i="7" s="1"/>
  <c r="M79" i="7"/>
  <c r="O79" i="7" s="1"/>
  <c r="D79" i="7"/>
  <c r="F79" i="7" s="1"/>
  <c r="M97" i="7"/>
  <c r="O97" i="7" s="1"/>
  <c r="M98" i="7" s="1"/>
  <c r="D128" i="7"/>
  <c r="F128" i="7" s="1"/>
  <c r="M129" i="7"/>
  <c r="O129" i="7" s="1"/>
  <c r="M62" i="7"/>
  <c r="O62" i="7" s="1"/>
  <c r="M144" i="7"/>
  <c r="O144" i="7" s="1"/>
  <c r="A46" i="7"/>
  <c r="J45" i="7"/>
  <c r="A62" i="7"/>
  <c r="J61" i="7"/>
  <c r="L7" i="7"/>
  <c r="Q7" i="7" s="1"/>
  <c r="J111" i="7"/>
  <c r="A112" i="7"/>
  <c r="D144" i="7"/>
  <c r="F144" i="7" s="1"/>
  <c r="O27" i="7"/>
  <c r="H132" i="7"/>
  <c r="Q132" i="7" s="1"/>
  <c r="H116" i="7"/>
  <c r="Q116" i="7" s="1"/>
  <c r="H100" i="7"/>
  <c r="Q100" i="7" s="1"/>
  <c r="H33" i="7"/>
  <c r="Q32" i="7"/>
  <c r="H83" i="7"/>
  <c r="Q83" i="7" s="1"/>
  <c r="H48" i="7"/>
  <c r="Q48" i="7" s="1"/>
  <c r="H148" i="7"/>
  <c r="Q148" i="7" s="1"/>
  <c r="H65" i="7"/>
  <c r="Q65" i="7" s="1"/>
  <c r="M44" i="7"/>
  <c r="O44" i="7" s="1"/>
  <c r="J96" i="7"/>
  <c r="A97" i="7"/>
  <c r="D112" i="7"/>
  <c r="F112" i="7" s="1"/>
  <c r="A79" i="7"/>
  <c r="J78" i="7"/>
  <c r="J127" i="7"/>
  <c r="A128" i="7"/>
  <c r="F27" i="7"/>
  <c r="C7" i="7" l="1"/>
  <c r="C17" i="7" s="1"/>
  <c r="H17" i="7" s="1"/>
  <c r="A145" i="7"/>
  <c r="J144" i="7"/>
  <c r="M130" i="7"/>
  <c r="O130" i="7" s="1"/>
  <c r="D80" i="7"/>
  <c r="F80" i="7" s="1"/>
  <c r="F98" i="7"/>
  <c r="D63" i="7"/>
  <c r="F63" i="7" s="1"/>
  <c r="D113" i="7"/>
  <c r="F113" i="7" s="1"/>
  <c r="D129" i="7"/>
  <c r="F129" i="7" s="1"/>
  <c r="F44" i="7"/>
  <c r="D45" i="7" s="1"/>
  <c r="M63" i="7"/>
  <c r="O63" i="7" s="1"/>
  <c r="O98" i="7"/>
  <c r="H133" i="7"/>
  <c r="Q133" i="7" s="1"/>
  <c r="H117" i="7"/>
  <c r="Q117" i="7" s="1"/>
  <c r="H101" i="7"/>
  <c r="Q101" i="7" s="1"/>
  <c r="Q33" i="7"/>
  <c r="H66" i="7"/>
  <c r="Q66" i="7" s="1"/>
  <c r="H149" i="7"/>
  <c r="Q149" i="7" s="1"/>
  <c r="H84" i="7"/>
  <c r="Q84" i="7" s="1"/>
  <c r="H49" i="7"/>
  <c r="Q49" i="7" s="1"/>
  <c r="M28" i="7"/>
  <c r="L8" i="7" s="1"/>
  <c r="M80" i="7"/>
  <c r="O80" i="7" s="1"/>
  <c r="J97" i="7"/>
  <c r="A98" i="7"/>
  <c r="M45" i="7"/>
  <c r="O45" i="7" s="1"/>
  <c r="M46" i="7" s="1"/>
  <c r="D145" i="7"/>
  <c r="F145" i="7" s="1"/>
  <c r="J46" i="7"/>
  <c r="A47" i="7"/>
  <c r="D28" i="7"/>
  <c r="A80" i="7"/>
  <c r="J79" i="7"/>
  <c r="M145" i="7"/>
  <c r="O145" i="7" s="1"/>
  <c r="M114" i="7"/>
  <c r="O114" i="7" s="1"/>
  <c r="A129" i="7"/>
  <c r="J128" i="7"/>
  <c r="L17" i="7"/>
  <c r="Q17" i="7" s="1"/>
  <c r="A113" i="7"/>
  <c r="J112" i="7"/>
  <c r="J62" i="7"/>
  <c r="A63" i="7"/>
  <c r="H7" i="7" l="1"/>
  <c r="D99" i="7"/>
  <c r="F99" i="7" s="1"/>
  <c r="C8" i="7"/>
  <c r="H8" i="7" s="1"/>
  <c r="J145" i="7"/>
  <c r="A146" i="7"/>
  <c r="O46" i="7"/>
  <c r="M64" i="7"/>
  <c r="O64" i="7" s="1"/>
  <c r="D81" i="7"/>
  <c r="F81" i="7" s="1"/>
  <c r="D114" i="7"/>
  <c r="F114" i="7" s="1"/>
  <c r="M131" i="7"/>
  <c r="O131" i="7" s="1"/>
  <c r="M115" i="7"/>
  <c r="O115" i="7" s="1"/>
  <c r="M116" i="7" s="1"/>
  <c r="D64" i="7"/>
  <c r="F64" i="7" s="1"/>
  <c r="M99" i="7"/>
  <c r="A64" i="7"/>
  <c r="J63" i="7"/>
  <c r="A81" i="7"/>
  <c r="J80" i="7"/>
  <c r="M81" i="7"/>
  <c r="O81" i="7" s="1"/>
  <c r="H134" i="7"/>
  <c r="Q134" i="7" s="1"/>
  <c r="Q102" i="7"/>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D100" i="7" l="1"/>
  <c r="F100" i="7" s="1"/>
  <c r="O99" i="7"/>
  <c r="A147" i="7"/>
  <c r="J146" i="7"/>
  <c r="D147" i="7"/>
  <c r="M100" i="7"/>
  <c r="O100" i="7" s="1"/>
  <c r="M101" i="7" s="1"/>
  <c r="M132" i="7"/>
  <c r="O132" i="7" s="1"/>
  <c r="D65" i="7"/>
  <c r="F65" i="7" s="1"/>
  <c r="D66" i="7" s="1"/>
  <c r="D115" i="7"/>
  <c r="F115" i="7" s="1"/>
  <c r="M147" i="7"/>
  <c r="O147" i="7" s="1"/>
  <c r="D82" i="7"/>
  <c r="F82" i="7" s="1"/>
  <c r="M65" i="7"/>
  <c r="O65" i="7" s="1"/>
  <c r="M66" i="7" s="1"/>
  <c r="D29" i="7"/>
  <c r="C9" i="7" s="1"/>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Q103" i="7"/>
  <c r="H151" i="7"/>
  <c r="Q151" i="7" s="1"/>
  <c r="H68" i="7"/>
  <c r="Q68" i="7" s="1"/>
  <c r="H86" i="7"/>
  <c r="Q86" i="7" s="1"/>
  <c r="H51" i="7"/>
  <c r="Q51" i="7" s="1"/>
  <c r="J64" i="7"/>
  <c r="A65" i="7"/>
  <c r="D101" i="7" l="1"/>
  <c r="F101" i="7" s="1"/>
  <c r="O66" i="7"/>
  <c r="M67" i="7" s="1"/>
  <c r="F147" i="7"/>
  <c r="D148" i="7" s="1"/>
  <c r="A148" i="7"/>
  <c r="J147" i="7"/>
  <c r="D132" i="7"/>
  <c r="F132" i="7" s="1"/>
  <c r="D116" i="7"/>
  <c r="F116" i="7" s="1"/>
  <c r="D83" i="7"/>
  <c r="F83" i="7" s="1"/>
  <c r="D84" i="7" s="1"/>
  <c r="F66" i="7"/>
  <c r="D67" i="7" s="1"/>
  <c r="M133" i="7"/>
  <c r="O133" i="7" s="1"/>
  <c r="M117" i="7"/>
  <c r="O117" i="7" s="1"/>
  <c r="M118" i="7" s="1"/>
  <c r="O101" i="7"/>
  <c r="M102" i="7" s="1"/>
  <c r="J115" i="7"/>
  <c r="A116" i="7"/>
  <c r="M83" i="7"/>
  <c r="O83" i="7" s="1"/>
  <c r="M84" i="7" s="1"/>
  <c r="H9" i="7"/>
  <c r="Q9" i="7"/>
  <c r="A83" i="7"/>
  <c r="J82" i="7"/>
  <c r="J100" i="7"/>
  <c r="A101" i="7"/>
  <c r="F29" i="7"/>
  <c r="A66" i="7"/>
  <c r="J65" i="7"/>
  <c r="H136" i="7"/>
  <c r="Q136" i="7" s="1"/>
  <c r="Q36" i="7"/>
  <c r="H152" i="7"/>
  <c r="Q152" i="7" s="1"/>
  <c r="Q104" i="7"/>
  <c r="H120" i="7"/>
  <c r="Q120" i="7" s="1"/>
  <c r="H87" i="7"/>
  <c r="Q87" i="7" s="1"/>
  <c r="H52" i="7"/>
  <c r="Q52" i="7" s="1"/>
  <c r="H69" i="7"/>
  <c r="Q69" i="7" s="1"/>
  <c r="O29" i="7"/>
  <c r="A50" i="7"/>
  <c r="J49" i="7"/>
  <c r="D47" i="7"/>
  <c r="F47" i="7" s="1"/>
  <c r="D48" i="7" s="1"/>
  <c r="M48" i="7"/>
  <c r="O48" i="7" s="1"/>
  <c r="M148" i="7"/>
  <c r="O148" i="7" s="1"/>
  <c r="J131" i="7"/>
  <c r="A132" i="7"/>
  <c r="D102" i="7" l="1"/>
  <c r="F102" i="7" s="1"/>
  <c r="F148" i="7"/>
  <c r="D149" i="7" s="1"/>
  <c r="F149" i="7" s="1"/>
  <c r="J148" i="7"/>
  <c r="A149" i="7"/>
  <c r="F84" i="7"/>
  <c r="D85" i="7" s="1"/>
  <c r="D117" i="7"/>
  <c r="F117" i="7" s="1"/>
  <c r="M149" i="7"/>
  <c r="O149" i="7" s="1"/>
  <c r="M49" i="7"/>
  <c r="O49" i="7" s="1"/>
  <c r="J66" i="7"/>
  <c r="A67" i="7"/>
  <c r="A117" i="7"/>
  <c r="J116" i="7"/>
  <c r="D133" i="7"/>
  <c r="F133" i="7" s="1"/>
  <c r="J50" i="7"/>
  <c r="A51" i="7"/>
  <c r="D30" i="7"/>
  <c r="C10" i="7" s="1"/>
  <c r="H10" i="7" s="1"/>
  <c r="A84" i="7"/>
  <c r="J83" i="7"/>
  <c r="J132" i="7"/>
  <c r="A133" i="7"/>
  <c r="F48" i="7"/>
  <c r="M30" i="7"/>
  <c r="L10" i="7" s="1"/>
  <c r="A102" i="7"/>
  <c r="J101" i="7"/>
  <c r="O84" i="7"/>
  <c r="M85" i="7" s="1"/>
  <c r="M134" i="7"/>
  <c r="O134" i="7" s="1"/>
  <c r="D103" i="7" l="1"/>
  <c r="F103" i="7" s="1"/>
  <c r="O102" i="7"/>
  <c r="M103" i="7" s="1"/>
  <c r="J149" i="7"/>
  <c r="A150" i="7"/>
  <c r="F30" i="7"/>
  <c r="D31" i="7" s="1"/>
  <c r="M135" i="7"/>
  <c r="O135" i="7" s="1"/>
  <c r="D134" i="7"/>
  <c r="F134" i="7" s="1"/>
  <c r="D49" i="7"/>
  <c r="F49" i="7" s="1"/>
  <c r="J133" i="7"/>
  <c r="A134" i="7"/>
  <c r="D150" i="7"/>
  <c r="M50" i="7"/>
  <c r="O50" i="7" s="1"/>
  <c r="J102" i="7"/>
  <c r="A103" i="7"/>
  <c r="H18" i="7"/>
  <c r="C18" i="7"/>
  <c r="A118" i="7"/>
  <c r="J117" i="7"/>
  <c r="O67" i="7"/>
  <c r="M68" i="7" s="1"/>
  <c r="F67" i="7"/>
  <c r="Q10" i="7"/>
  <c r="L18" i="7"/>
  <c r="Q18" i="7" s="1"/>
  <c r="A52" i="7"/>
  <c r="J52" i="7" s="1"/>
  <c r="J51" i="7"/>
  <c r="A68" i="7"/>
  <c r="J67" i="7"/>
  <c r="M150" i="7"/>
  <c r="O150" i="7" s="1"/>
  <c r="O30" i="7"/>
  <c r="A85" i="7"/>
  <c r="J84" i="7"/>
  <c r="D104" i="7" l="1"/>
  <c r="F104" i="7" s="1"/>
  <c r="C11" i="7"/>
  <c r="H11" i="7" s="1"/>
  <c r="F150" i="7"/>
  <c r="D151" i="7" s="1"/>
  <c r="D118" i="7"/>
  <c r="F118" i="7" s="1"/>
  <c r="D119" i="7" s="1"/>
  <c r="J150" i="7"/>
  <c r="A151" i="7"/>
  <c r="M136" i="7"/>
  <c r="O136" i="7" s="1"/>
  <c r="M31" i="7"/>
  <c r="L11" i="7" s="1"/>
  <c r="J118" i="7"/>
  <c r="A119" i="7"/>
  <c r="J68" i="7"/>
  <c r="A69" i="7"/>
  <c r="J69" i="7" s="1"/>
  <c r="D68" i="7"/>
  <c r="M51" i="7"/>
  <c r="O51" i="7" s="1"/>
  <c r="D50" i="7"/>
  <c r="F50" i="7" s="1"/>
  <c r="D135" i="7"/>
  <c r="F135" i="7" s="1"/>
  <c r="F85" i="7"/>
  <c r="D86" i="7" s="1"/>
  <c r="M151" i="7"/>
  <c r="O151" i="7" s="1"/>
  <c r="F31" i="7"/>
  <c r="A86" i="7"/>
  <c r="J85" i="7"/>
  <c r="J103" i="7"/>
  <c r="A104" i="7"/>
  <c r="J104" i="7" s="1"/>
  <c r="J134" i="7"/>
  <c r="A135" i="7"/>
  <c r="O85" i="7"/>
  <c r="M86" i="7" s="1"/>
  <c r="O68" i="7" l="1"/>
  <c r="M69" i="7" s="1"/>
  <c r="O69" i="7" s="1"/>
  <c r="F68" i="7"/>
  <c r="D69" i="7" s="1"/>
  <c r="F69" i="7" s="1"/>
  <c r="F151" i="7"/>
  <c r="D152" i="7" s="1"/>
  <c r="O118" i="7"/>
  <c r="M119" i="7" s="1"/>
  <c r="F119" i="7"/>
  <c r="D120" i="7" s="1"/>
  <c r="O103" i="7"/>
  <c r="M104" i="7" s="1"/>
  <c r="J151" i="7"/>
  <c r="A152" i="7"/>
  <c r="J152" i="7" s="1"/>
  <c r="M152" i="7"/>
  <c r="O152" i="7" s="1"/>
  <c r="D136" i="7"/>
  <c r="F136" i="7" s="1"/>
  <c r="D32" i="7"/>
  <c r="C12" i="7" s="1"/>
  <c r="H12" i="7" s="1"/>
  <c r="D51" i="7"/>
  <c r="F51" i="7" s="1"/>
  <c r="M52" i="7"/>
  <c r="O52" i="7" s="1"/>
  <c r="Q11" i="7"/>
  <c r="O31" i="7"/>
  <c r="J135" i="7"/>
  <c r="A136" i="7"/>
  <c r="J136" i="7" s="1"/>
  <c r="A120" i="7"/>
  <c r="J120" i="7" s="1"/>
  <c r="J119" i="7"/>
  <c r="A87" i="7"/>
  <c r="J87" i="7" s="1"/>
  <c r="J86" i="7"/>
  <c r="F86" i="7" l="1"/>
  <c r="D87" i="7" s="1"/>
  <c r="O86" i="7"/>
  <c r="M87" i="7" s="1"/>
  <c r="F152" i="7"/>
  <c r="O119" i="7"/>
  <c r="M120" i="7" s="1"/>
  <c r="F120" i="7"/>
  <c r="O104" i="7"/>
  <c r="F32" i="7"/>
  <c r="D33" i="7" s="1"/>
  <c r="C13" i="7" s="1"/>
  <c r="H13" i="7" s="1"/>
  <c r="M32" i="7"/>
  <c r="L12" i="7" s="1"/>
  <c r="Q12" i="7" s="1"/>
  <c r="D52" i="7"/>
  <c r="F52" i="7" s="1"/>
  <c r="O87" i="7" l="1"/>
  <c r="F87" i="7"/>
  <c r="O120" i="7"/>
  <c r="C19" i="7"/>
  <c r="H19" i="7" s="1"/>
  <c r="F33" i="7"/>
  <c r="O32" i="7"/>
  <c r="D34" i="7" l="1"/>
  <c r="C14" i="7" s="1"/>
  <c r="M33" i="7"/>
  <c r="L13" i="7" s="1"/>
  <c r="O33" i="7" l="1"/>
  <c r="M34" i="7" s="1"/>
  <c r="L14" i="7" s="1"/>
  <c r="Q14" i="7" s="1"/>
  <c r="F34" i="7"/>
  <c r="D35" i="7" s="1"/>
  <c r="C15" i="7" s="1"/>
  <c r="H15" i="7" s="1"/>
  <c r="H14" i="7"/>
  <c r="Q13" i="7"/>
  <c r="L19" i="7"/>
  <c r="Q19" i="7" s="1"/>
  <c r="O34" i="7" l="1"/>
  <c r="F35" i="7"/>
  <c r="D36" i="7" l="1"/>
  <c r="C16" i="7" s="1"/>
  <c r="M35" i="7"/>
  <c r="L15" i="7" l="1"/>
  <c r="Q15" i="7" s="1"/>
  <c r="F36" i="7"/>
  <c r="H16" i="7"/>
  <c r="C20" i="7"/>
  <c r="H20" i="7" s="1"/>
  <c r="O35" i="7"/>
  <c r="M36" i="7" l="1"/>
  <c r="L16" i="7" s="1"/>
  <c r="Q16" i="7" l="1"/>
  <c r="L20" i="7"/>
  <c r="Q20" i="7" s="1"/>
  <c r="O36" i="7"/>
  <c r="F197" i="3" l="1"/>
  <c r="F193" i="3"/>
  <c r="F188" i="3"/>
  <c r="F189" i="3" s="1"/>
  <c r="F183" i="3"/>
  <c r="F179" i="3"/>
  <c r="F166" i="3"/>
  <c r="F162" i="3"/>
  <c r="F157" i="3"/>
  <c r="F153" i="3"/>
  <c r="F142" i="3"/>
  <c r="F138" i="3"/>
  <c r="F134" i="3"/>
  <c r="F130" i="3"/>
  <c r="F119" i="3"/>
  <c r="F115" i="3"/>
  <c r="F111" i="3"/>
  <c r="F107" i="3"/>
  <c r="F93" i="3"/>
  <c r="F89" i="3"/>
  <c r="F78" i="3"/>
  <c r="F79" i="3" s="1"/>
  <c r="F71" i="3"/>
  <c r="F72" i="3" s="1"/>
  <c r="F62" i="3"/>
  <c r="F58" i="3"/>
  <c r="F47" i="3"/>
  <c r="F43" i="3"/>
  <c r="F38" i="3"/>
  <c r="F34" i="3"/>
  <c r="F23" i="3"/>
  <c r="F19" i="3"/>
  <c r="F14" i="3"/>
  <c r="F10" i="3"/>
  <c r="F24" i="3" l="1"/>
  <c r="F94" i="3"/>
  <c r="F48" i="3"/>
  <c r="F184" i="3"/>
  <c r="F167" i="3"/>
  <c r="F158" i="3"/>
  <c r="F63" i="3"/>
  <c r="F39" i="3"/>
  <c r="F15" i="3"/>
  <c r="F168" i="3" l="1"/>
  <c r="E11" i="1"/>
  <c r="C23" i="2" l="1"/>
  <c r="C40" i="2"/>
  <c r="K92" i="3" l="1"/>
  <c r="K91"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7" i="1"/>
  <c r="C45" i="1"/>
  <c r="G42" i="1"/>
  <c r="D42" i="1"/>
  <c r="O37" i="1"/>
  <c r="O38" i="1" s="1"/>
  <c r="O39" i="1" s="1"/>
  <c r="N37" i="1"/>
  <c r="N38" i="1" s="1"/>
  <c r="N39" i="1" s="1"/>
  <c r="M37" i="1"/>
  <c r="M38" i="1" s="1"/>
  <c r="L37" i="1"/>
  <c r="L38" i="1" s="1"/>
  <c r="L39" i="1" s="1"/>
  <c r="K37" i="1"/>
  <c r="K38" i="1" s="1"/>
  <c r="J37" i="1"/>
  <c r="J38" i="1" s="1"/>
  <c r="J39" i="1" s="1"/>
  <c r="I37" i="1"/>
  <c r="I38" i="1" s="1"/>
  <c r="I39" i="1" s="1"/>
  <c r="H37" i="1"/>
  <c r="H38" i="1" s="1"/>
  <c r="H39" i="1" s="1"/>
  <c r="G37" i="1"/>
  <c r="G38" i="1" s="1"/>
  <c r="F37" i="1"/>
  <c r="F38" i="1" s="1"/>
  <c r="F39" i="1" s="1"/>
  <c r="E37" i="1"/>
  <c r="E38" i="1" s="1"/>
  <c r="A34" i="1"/>
  <c r="A35" i="1" s="1"/>
  <c r="O31" i="1"/>
  <c r="N31" i="1"/>
  <c r="M31" i="1"/>
  <c r="L31" i="1"/>
  <c r="K31" i="1"/>
  <c r="J31" i="1"/>
  <c r="I31" i="1"/>
  <c r="H31" i="1"/>
  <c r="G31" i="1"/>
  <c r="F31" i="1"/>
  <c r="E31" i="1"/>
  <c r="A30" i="1"/>
  <c r="A31" i="1" s="1"/>
  <c r="T29" i="1"/>
  <c r="S29" i="1"/>
  <c r="R29" i="1"/>
  <c r="Q29" i="1"/>
  <c r="P29"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18" i="2" l="1"/>
  <c r="I18" i="2"/>
  <c r="I19" i="2" s="1"/>
  <c r="E18" i="2"/>
  <c r="E19" i="2" s="1"/>
  <c r="P16" i="2"/>
  <c r="P17" i="2"/>
  <c r="E35" i="2"/>
  <c r="E36" i="2" s="1"/>
  <c r="S28" i="2"/>
  <c r="S27" i="2" s="1"/>
  <c r="G18" i="2"/>
  <c r="G19" i="2" s="1"/>
  <c r="K18" i="2"/>
  <c r="K19" i="2" s="1"/>
  <c r="S11" i="2"/>
  <c r="S10" i="2" s="1"/>
  <c r="C11" i="2"/>
  <c r="N35" i="2"/>
  <c r="N36" i="2" s="1"/>
  <c r="D17" i="2"/>
  <c r="L35" i="2"/>
  <c r="L36" i="2" s="1"/>
  <c r="K35" i="2"/>
  <c r="K36" i="2" s="1"/>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1" i="1"/>
  <c r="Q30" i="1" s="1"/>
  <c r="C31" i="1"/>
  <c r="E19" i="1"/>
  <c r="E20" i="1"/>
  <c r="E21" i="1" s="1"/>
  <c r="M20" i="1"/>
  <c r="M21" i="1" s="1"/>
  <c r="F20" i="1"/>
  <c r="F21" i="1" s="1"/>
  <c r="M40" i="1"/>
  <c r="M41" i="1" s="1"/>
  <c r="C11" i="1"/>
  <c r="Q11" i="1"/>
  <c r="Q10" i="1" s="1"/>
  <c r="F40" i="1"/>
  <c r="F41" i="1" s="1"/>
  <c r="N40" i="1"/>
  <c r="N41" i="1" s="1"/>
  <c r="O35" i="2"/>
  <c r="O36" i="2" s="1"/>
  <c r="S33" i="2"/>
  <c r="S34" i="2" s="1"/>
  <c r="O17" i="2"/>
  <c r="N18" i="2"/>
  <c r="N19" i="2" s="1"/>
  <c r="S16" i="2"/>
  <c r="S17" i="2" s="1"/>
  <c r="M19" i="2"/>
  <c r="N20" i="1"/>
  <c r="N21" i="1" s="1"/>
  <c r="T33" i="2"/>
  <c r="T34" i="2" s="1"/>
  <c r="R28" i="2"/>
  <c r="R27" i="2" s="1"/>
  <c r="L17" i="2"/>
  <c r="R16" i="2"/>
  <c r="R17" i="2" s="1"/>
  <c r="J18" i="2"/>
  <c r="J19" i="2" s="1"/>
  <c r="T11" i="2"/>
  <c r="T10" i="2" s="1"/>
  <c r="L40" i="1"/>
  <c r="L41" i="1" s="1"/>
  <c r="L20" i="1"/>
  <c r="L21" i="1" s="1"/>
  <c r="R11" i="1"/>
  <c r="R10" i="1" s="1"/>
  <c r="Q33" i="2"/>
  <c r="Q34" i="2" s="1"/>
  <c r="I35" i="2"/>
  <c r="I36" i="2" s="1"/>
  <c r="H35" i="2"/>
  <c r="H36" i="2" s="1"/>
  <c r="I20" i="2"/>
  <c r="K20" i="2" s="1"/>
  <c r="L20" i="2" s="1"/>
  <c r="T16" i="2"/>
  <c r="T17" i="2" s="1"/>
  <c r="Q16" i="2"/>
  <c r="Q17" i="2" s="1"/>
  <c r="Q11" i="2"/>
  <c r="Q10" i="2" s="1"/>
  <c r="I20" i="1"/>
  <c r="I21" i="1" s="1"/>
  <c r="P18" i="1"/>
  <c r="P19" i="1" s="1"/>
  <c r="D19" i="1"/>
  <c r="T18" i="1"/>
  <c r="T19" i="1" s="1"/>
  <c r="Q38" i="1"/>
  <c r="Q39" i="1" s="1"/>
  <c r="G39" i="1"/>
  <c r="J20" i="1"/>
  <c r="I22" i="1"/>
  <c r="K22" i="1" s="1"/>
  <c r="L22" i="1" s="1"/>
  <c r="H42" i="1"/>
  <c r="J40" i="1"/>
  <c r="R31" i="1"/>
  <c r="R30" i="1" s="1"/>
  <c r="A36" i="1"/>
  <c r="A37" i="1" s="1"/>
  <c r="A38" i="1" s="1"/>
  <c r="C40" i="1" s="1"/>
  <c r="S11" i="1"/>
  <c r="S10" i="1" s="1"/>
  <c r="Q18" i="1"/>
  <c r="Q19" i="1" s="1"/>
  <c r="I19" i="1"/>
  <c r="H20" i="1"/>
  <c r="E42" i="1"/>
  <c r="F22" i="1"/>
  <c r="F42" i="1" s="1"/>
  <c r="I40" i="1"/>
  <c r="S31" i="1"/>
  <c r="S30" i="1" s="1"/>
  <c r="K39" i="1"/>
  <c r="K40" i="1"/>
  <c r="R38" i="1"/>
  <c r="R39" i="1" s="1"/>
  <c r="H40" i="1"/>
  <c r="R18" i="1"/>
  <c r="R19" i="1" s="1"/>
  <c r="J19" i="1"/>
  <c r="S18" i="1"/>
  <c r="S19" i="1" s="1"/>
  <c r="G40" i="1"/>
  <c r="O40" i="1"/>
  <c r="S40" i="1" s="1"/>
  <c r="E39" i="1"/>
  <c r="E40" i="1"/>
  <c r="M39" i="1"/>
  <c r="S38" i="1"/>
  <c r="S39" i="1" s="1"/>
  <c r="D31" i="1"/>
  <c r="G20" i="1"/>
  <c r="K20" i="1"/>
  <c r="O20" i="1"/>
  <c r="D37" i="1"/>
  <c r="D38" i="1" s="1"/>
  <c r="P35" i="2" l="1"/>
  <c r="N20" i="2"/>
  <c r="O20" i="2" s="1"/>
  <c r="Q18" i="2"/>
  <c r="N22" i="1"/>
  <c r="O22" i="1" s="1"/>
  <c r="M42" i="1"/>
  <c r="R35" i="2"/>
  <c r="R19" i="2"/>
  <c r="H19" i="2"/>
  <c r="Q19" i="2" s="1"/>
  <c r="S36" i="2"/>
  <c r="R36" i="2"/>
  <c r="F36" i="2"/>
  <c r="P36" i="2" s="1"/>
  <c r="R18" i="2"/>
  <c r="S35" i="2"/>
  <c r="F19" i="2"/>
  <c r="P19" i="2" s="1"/>
  <c r="D38" i="2"/>
  <c r="D40" i="2" s="1"/>
  <c r="P18" i="2"/>
  <c r="C38" i="1"/>
  <c r="S20" i="1"/>
  <c r="S18" i="2"/>
  <c r="S19" i="2"/>
  <c r="T18" i="2"/>
  <c r="Q36" i="2"/>
  <c r="T35" i="2"/>
  <c r="Q35" i="2"/>
  <c r="I37" i="2"/>
  <c r="T11" i="1"/>
  <c r="T10" i="1" s="1"/>
  <c r="P11" i="1"/>
  <c r="P10" i="1" s="1"/>
  <c r="D20" i="1"/>
  <c r="D21" i="1" s="1"/>
  <c r="P38" i="1"/>
  <c r="P39" i="1" s="1"/>
  <c r="D39" i="1"/>
  <c r="T38" i="1"/>
  <c r="T39" i="1" s="1"/>
  <c r="O41" i="1"/>
  <c r="I41" i="1"/>
  <c r="H21" i="1"/>
  <c r="C37" i="1"/>
  <c r="J21" i="1"/>
  <c r="R20" i="1"/>
  <c r="O21" i="1"/>
  <c r="S21" i="1" s="1"/>
  <c r="T31" i="1"/>
  <c r="T30" i="1" s="1"/>
  <c r="P31" i="1"/>
  <c r="P30" i="1" s="1"/>
  <c r="D40" i="1"/>
  <c r="D41" i="1" s="1"/>
  <c r="E41" i="1"/>
  <c r="G41" i="1"/>
  <c r="Q40" i="1"/>
  <c r="K41" i="1"/>
  <c r="K21" i="1"/>
  <c r="R40" i="1"/>
  <c r="J41" i="1"/>
  <c r="I42" i="1"/>
  <c r="Q20" i="1"/>
  <c r="G21" i="1"/>
  <c r="S41" i="1"/>
  <c r="H41" i="1"/>
  <c r="T36" i="2" l="1"/>
  <c r="T19" i="2"/>
  <c r="E38" i="2"/>
  <c r="E39" i="2" s="1"/>
  <c r="D39" i="2"/>
  <c r="D21" i="2"/>
  <c r="R41" i="1"/>
  <c r="J37" i="2"/>
  <c r="Q41" i="1"/>
  <c r="T41" i="1"/>
  <c r="P41" i="1"/>
  <c r="T21" i="1"/>
  <c r="P21" i="1"/>
  <c r="D43" i="1"/>
  <c r="D44" i="1" s="1"/>
  <c r="T40" i="1"/>
  <c r="P40" i="1"/>
  <c r="T20" i="1"/>
  <c r="D23" i="1"/>
  <c r="P20" i="1"/>
  <c r="Q21" i="1"/>
  <c r="J42" i="1"/>
  <c r="R21" i="1"/>
  <c r="D23" i="2" l="1"/>
  <c r="D22" i="2"/>
  <c r="E40" i="2"/>
  <c r="D45" i="1"/>
  <c r="E43" i="1" s="1"/>
  <c r="E44" i="1" s="1"/>
  <c r="K37" i="2"/>
  <c r="K42" i="1"/>
  <c r="D25" i="1"/>
  <c r="D24" i="1"/>
  <c r="F38" i="2" l="1"/>
  <c r="D42" i="2"/>
  <c r="E21" i="2"/>
  <c r="L37" i="2"/>
  <c r="E45" i="1"/>
  <c r="E23" i="1"/>
  <c r="E25" i="1" s="1"/>
  <c r="D47" i="1"/>
  <c r="L42" i="1"/>
  <c r="F39" i="2" l="1"/>
  <c r="P38" i="2"/>
  <c r="P39" i="2" s="1"/>
  <c r="E22" i="2"/>
  <c r="E23" i="2"/>
  <c r="E42" i="2" s="1"/>
  <c r="F40" i="2"/>
  <c r="M37" i="2"/>
  <c r="E47" i="1"/>
  <c r="F23" i="1"/>
  <c r="F24" i="1" s="1"/>
  <c r="F43" i="1"/>
  <c r="F45" i="1" s="1"/>
  <c r="E24" i="1"/>
  <c r="F21" i="2" l="1"/>
  <c r="F22" i="2" s="1"/>
  <c r="G38" i="2"/>
  <c r="P23" i="1"/>
  <c r="P24" i="1" s="1"/>
  <c r="O37" i="2"/>
  <c r="N37" i="2"/>
  <c r="G43" i="1"/>
  <c r="G45" i="1" s="1"/>
  <c r="F44" i="1"/>
  <c r="P43" i="1"/>
  <c r="N42" i="1"/>
  <c r="O42" i="1"/>
  <c r="F25" i="1"/>
  <c r="P21" i="2" l="1"/>
  <c r="P22" i="2" s="1"/>
  <c r="F23" i="2"/>
  <c r="F42" i="2" s="1"/>
  <c r="G39" i="2"/>
  <c r="G40" i="2"/>
  <c r="H38" i="2" s="1"/>
  <c r="F47" i="1"/>
  <c r="G23" i="1"/>
  <c r="P46" i="1"/>
  <c r="P44" i="1"/>
  <c r="H43" i="1"/>
  <c r="G44" i="1"/>
  <c r="G21" i="2" l="1"/>
  <c r="G22" i="2" s="1"/>
  <c r="H40" i="2"/>
  <c r="H39" i="2"/>
  <c r="H44" i="1"/>
  <c r="G24" i="1"/>
  <c r="H45" i="1"/>
  <c r="G25" i="1"/>
  <c r="G23" i="2" l="1"/>
  <c r="G42" i="2" s="1"/>
  <c r="I38" i="2"/>
  <c r="I43" i="1"/>
  <c r="H23" i="1"/>
  <c r="H25" i="1" s="1"/>
  <c r="G47" i="1"/>
  <c r="H21" i="2" l="1"/>
  <c r="H22" i="2" s="1"/>
  <c r="I39" i="2"/>
  <c r="Q38" i="2"/>
  <c r="Q39" i="2" s="1"/>
  <c r="I40" i="2"/>
  <c r="J38" i="2" s="1"/>
  <c r="J39" i="2" s="1"/>
  <c r="H23" i="2"/>
  <c r="I44" i="1"/>
  <c r="Q43" i="1"/>
  <c r="H24" i="1"/>
  <c r="I23" i="1"/>
  <c r="I24" i="1" s="1"/>
  <c r="H47" i="1"/>
  <c r="I45" i="1"/>
  <c r="J40" i="2" l="1"/>
  <c r="K38" i="2" s="1"/>
  <c r="I21" i="2"/>
  <c r="I23" i="2" s="1"/>
  <c r="H42" i="2"/>
  <c r="I25" i="1"/>
  <c r="J43" i="1"/>
  <c r="J45" i="1" s="1"/>
  <c r="Q23" i="1"/>
  <c r="Q24" i="1" s="1"/>
  <c r="Q46" i="1"/>
  <c r="Q44" i="1"/>
  <c r="K39" i="2" l="1"/>
  <c r="I22" i="2"/>
  <c r="Q21" i="2"/>
  <c r="Q22" i="2" s="1"/>
  <c r="J21" i="2"/>
  <c r="J23" i="2" s="1"/>
  <c r="I42" i="2"/>
  <c r="K40" i="2"/>
  <c r="L38" i="2" s="1"/>
  <c r="R38" i="2" s="1"/>
  <c r="R39" i="2" s="1"/>
  <c r="I47" i="1"/>
  <c r="J23" i="1"/>
  <c r="K43" i="1"/>
  <c r="K44" i="1" s="1"/>
  <c r="J44" i="1"/>
  <c r="L40" i="2" l="1"/>
  <c r="L39" i="2"/>
  <c r="K21" i="2"/>
  <c r="K22" i="2" s="1"/>
  <c r="J42" i="2"/>
  <c r="J22" i="2"/>
  <c r="K45" i="1"/>
  <c r="J24" i="1"/>
  <c r="J25" i="1"/>
  <c r="K23" i="2" l="1"/>
  <c r="M38" i="2"/>
  <c r="K23" i="1"/>
  <c r="J47" i="1"/>
  <c r="L43" i="1"/>
  <c r="L45" i="1" s="1"/>
  <c r="M40" i="2" l="1"/>
  <c r="N38" i="2" s="1"/>
  <c r="N39" i="2" s="1"/>
  <c r="M39" i="2"/>
  <c r="K42" i="2"/>
  <c r="L21" i="2"/>
  <c r="R21" i="2" s="1"/>
  <c r="R22" i="2" s="1"/>
  <c r="K24" i="1"/>
  <c r="L44" i="1"/>
  <c r="R43" i="1"/>
  <c r="M43" i="1"/>
  <c r="M45" i="1" s="1"/>
  <c r="K25" i="1"/>
  <c r="N40" i="2" l="1"/>
  <c r="O38" i="2" s="1"/>
  <c r="L23" i="2"/>
  <c r="L22" i="2"/>
  <c r="N43" i="1"/>
  <c r="N44" i="1" s="1"/>
  <c r="R46" i="1"/>
  <c r="R44" i="1"/>
  <c r="K47" i="1"/>
  <c r="L23" i="1"/>
  <c r="L25" i="1" s="1"/>
  <c r="M44" i="1"/>
  <c r="O39" i="2" l="1"/>
  <c r="S38" i="2"/>
  <c r="S39" i="2" s="1"/>
  <c r="T38" i="2"/>
  <c r="T39" i="2" s="1"/>
  <c r="O40" i="2"/>
  <c r="L42" i="2"/>
  <c r="M21" i="2"/>
  <c r="M23" i="1"/>
  <c r="M25" i="1" s="1"/>
  <c r="L47" i="1"/>
  <c r="L24" i="1"/>
  <c r="R23" i="1"/>
  <c r="R24" i="1" s="1"/>
  <c r="N45" i="1"/>
  <c r="M23" i="2" l="1"/>
  <c r="M22" i="2"/>
  <c r="O43" i="1"/>
  <c r="M47" i="1"/>
  <c r="N23" i="1"/>
  <c r="N24" i="1" s="1"/>
  <c r="M24" i="1"/>
  <c r="M42" i="2" l="1"/>
  <c r="N21" i="2"/>
  <c r="N23" i="2" s="1"/>
  <c r="O44" i="1"/>
  <c r="T43" i="1"/>
  <c r="S43" i="1"/>
  <c r="N25" i="1"/>
  <c r="O45" i="1"/>
  <c r="N22" i="2" l="1"/>
  <c r="N42" i="2"/>
  <c r="O21" i="2"/>
  <c r="T21" i="2" s="1"/>
  <c r="T22" i="2" s="1"/>
  <c r="S46" i="1"/>
  <c r="S44" i="1"/>
  <c r="T46" i="1"/>
  <c r="T44" i="1"/>
  <c r="N47" i="1"/>
  <c r="O23" i="1"/>
  <c r="O25" i="1" s="1"/>
  <c r="O47"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F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<sst xmlns="http://schemas.openxmlformats.org/spreadsheetml/2006/main" count="723" uniqueCount="171">
  <si>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</si>
  <si>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</si>
  <si>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</si>
  <si>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</si>
  <si>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</si>
  <si>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</si>
  <si>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</si>
  <si>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</si>
  <si>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</si>
  <si>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</si>
  <si>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</si>
  <si>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</si>
  <si>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</si>
  <si>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</si>
  <si>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</si>
  <si>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</si>
  <si>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</si>
  <si>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</si>
  <si>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</si>
  <si>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</si>
  <si>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</si>
  <si>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</si>
  <si>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</si>
  <si>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</si>
  <si>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</si>
  <si>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</si>
  <si>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</si>
  <si>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</si>
  <si>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</si>
  <si>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</si>
  <si>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</si>
  <si>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</si>
  <si>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</si>
  <si>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</si>
  <si>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</si>
  <si>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</si>
  <si>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</si>
  <si>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</si>
  <si>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</si>
  <si>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</si>
  <si>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</si>
  <si>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</si>
  <si>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</si>
  <si>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</si>
  <si>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</si>
  <si>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</si>
  <si>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</si>
  <si>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</si>
  <si>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</si>
  <si>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</si>
  <si>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</si>
  <si>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</si>
  <si>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</si>
  <si>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</si>
  <si>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</si>
  <si>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</si>
  <si>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</si>
  <si>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</si>
  <si>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</si>
  <si>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</si>
  <si>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</si>
  <si>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</si>
  <si>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</si>
  <si>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</si>
  <si>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</si>
  <si>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</si>
  <si>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</si>
  <si>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</si>
  <si>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</si>
  <si>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</si>
  <si>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</si>
  <si>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</si>
  <si>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</si>
  <si>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</si>
  <si>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</si>
  <si>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</si>
  <si>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</si>
  <si>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</si>
  <si>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</si>
  <si>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</si>
  <si>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</si>
  <si>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</si>
  <si>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</si>
  <si>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</si>
  <si>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</si>
  <si>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</si>
  <si>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</si>
  <si>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</si>
  <si>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</si>
  <si>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</si>
  <si>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</si>
  <si>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</si>
  <si>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</si>
  <si>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</si>
  <si>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</si>
  <si>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</si>
  <si>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</si>
  <si>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</si>
  <si>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</si>
  <si>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</si>
  <si>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</si>
  <si>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</si>
  <si>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</si>
  <si>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</si>
  <si>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</si>
  <si>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</si>
  <si>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</si>
  <si>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</si>
  <si>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</si>
  <si>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</si>
  <si>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</si>
  <si>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</si>
  <si>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</si>
  <si>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</si>
  <si>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</si>
  <si>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</si>
  <si>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</si>
  <si>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</si>
  <si>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</si>
  <si>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</si>
  <si>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</si>
  <si>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</si>
  <si>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</si>
  <si>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</si>
  <si>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</si>
  <si>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</si>
  <si>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</si>
  <si>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</si>
  <si>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</si>
  <si>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</si>
  <si>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</si>
  <si>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</si>
  <si>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</si>
  <si>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</si>
  <si>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</si>
  <si>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</si>
  <si>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</si>
  <si>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</si>
  <si>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</si>
  <si>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</si>
  <si>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</si>
  <si>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</si>
  <si>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</si>
  <si>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</si>
  <si>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</si>
  <si>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</si>
  <si>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</si>
  <si>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</si>
  <si>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</si>
  <si>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</si>
  <si>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Provision for Rate Refund</t>
  </si>
  <si>
    <t>YTD Weighted</t>
  </si>
  <si>
    <t>Earning Sharing</t>
  </si>
  <si>
    <t>Interest True-Up</t>
  </si>
  <si>
    <t>Financial Reporting Contra Asset Accounts (2)</t>
  </si>
  <si>
    <t>TRANSFER PRIOR UNAMORTIZED BALANCES APPROVED FOR REBATE TO CURRENT SURCHARGE APPROVED FOR RECOVERY ACCOUNT.</t>
  </si>
  <si>
    <t>Development of WA Electric Deferrals (Calendar Year 2018)</t>
  </si>
  <si>
    <t>1st Quarter 2018</t>
  </si>
  <si>
    <t>2nd Quarter 2018</t>
  </si>
  <si>
    <t>3rd Quarter 2018</t>
  </si>
  <si>
    <t>4th Quarter 2018</t>
  </si>
  <si>
    <t>2018 YTD</t>
  </si>
  <si>
    <t>Development of WA Natural Gas Deferrals (Calendar Year 2018)</t>
  </si>
  <si>
    <t>GL Account Balance  Accounting Period : '201801, 201802, 201803'</t>
  </si>
  <si>
    <t>201801</t>
  </si>
  <si>
    <t>201802</t>
  </si>
  <si>
    <t>201803</t>
  </si>
  <si>
    <t>2017 Deferred Revenue Pending Recovery</t>
  </si>
  <si>
    <t>TRANSFER PRIOR YEAR BALANCES APPROVED FOR RECOVERY TO SURCHARGE/REBATE ACCOUNTS.</t>
  </si>
  <si>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2018 surcharge may not be fully recovered by 12/31/2020 and therefore would not be recognizable as income for financial reporting purposes in 2018.  The income statement impact of any contra deferral entries will be eliminated for normalized Idaho results reporting.</t>
    </r>
  </si>
  <si>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2018.  The year-to-date impact is lower usage and revenue from residential electric and natural gas customers resulting in surcharge deferrals and also lower usage and revenues from non-residential electric and natural gas customers resulting in surcharge deferrals.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</si>
</sst>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7">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24">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73" fontId="13" fillId="0" borderId="46" xfId="0" applyNumberFormat="1" applyFont="1" applyFill="1" applyBorder="1" applyAlignment="1">
      <alignment horizontal="righ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0" fontId="14" fillId="0" borderId="0" xfId="0" applyFont="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left"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abSelected="1" view="pageLayout" topLeftCell="B12" zoomScaleNormal="100" workbookViewId="0">
      <selection activeCell="Z38" sqref="Z37:Z38"/>
    </sheetView>
  </sheetViews>
  <sheetFormatPr defaultRowHeight="15"/>
  <cols>
    <col min="1" max="1" width="7.42578125" customWidth="1"/>
    <col min="2" max="2" width="32.140625" customWidth="1"/>
    <col min="3" max="3" width="17.28515625" customWidth="1"/>
    <col min="4" max="6" width="12.42578125" customWidth="1"/>
    <col min="7" max="9" width="12.28515625" hidden="1" customWidth="1"/>
    <col min="10" max="10" width="12.7109375" hidden="1" customWidth="1"/>
    <col min="11" max="11" width="13" hidden="1" customWidth="1"/>
    <col min="12" max="12" width="12.42578125" hidden="1" customWidth="1"/>
    <col min="13" max="14" width="12.7109375" hidden="1" customWidth="1"/>
    <col min="15" max="15" width="12.5703125" hidden="1" customWidth="1"/>
    <col min="16" max="16" width="13.5703125" style="39" customWidth="1"/>
    <col min="17" max="17" width="12.85546875" style="39" hidden="1" customWidth="1"/>
    <col min="18" max="19" width="12" style="39" hidden="1" customWidth="1"/>
    <col min="20" max="20" width="13.28515625" style="39" customWidth="1"/>
    <col min="21" max="21" width="9" bestFit="1" customWidth="1"/>
  </cols>
  <sheetData>
    <row r="1" spans="1:20" ht="15.75">
      <c r="A1" s="140" t="s">
        <v>0</v>
      </c>
      <c r="B1" s="140"/>
      <c r="C1" s="140"/>
      <c r="D1" s="140"/>
      <c r="E1" s="140"/>
      <c r="F1" s="140"/>
      <c r="G1" s="140"/>
      <c r="H1" s="140"/>
      <c r="I1" s="140"/>
      <c r="J1" s="140"/>
      <c r="K1" s="140"/>
      <c r="L1" s="140"/>
      <c r="M1" s="140"/>
      <c r="N1" s="140"/>
      <c r="O1" s="140"/>
      <c r="P1" s="124"/>
      <c r="Q1" s="124"/>
      <c r="R1" s="124"/>
      <c r="S1" s="124"/>
      <c r="T1" s="124"/>
    </row>
    <row r="2" spans="1:20" ht="18.75">
      <c r="A2" s="140" t="s">
        <v>93</v>
      </c>
      <c r="B2" s="140"/>
      <c r="C2" s="140"/>
      <c r="D2" s="140"/>
      <c r="E2" s="140"/>
      <c r="F2" s="140"/>
      <c r="G2" s="140"/>
      <c r="H2" s="140"/>
      <c r="I2" s="140"/>
      <c r="J2" s="140"/>
      <c r="K2" s="140"/>
      <c r="L2" s="140"/>
      <c r="M2" s="140"/>
      <c r="N2" s="140"/>
      <c r="O2" s="140"/>
      <c r="P2" s="125"/>
      <c r="Q2" s="125"/>
      <c r="R2" s="125"/>
      <c r="S2" s="125"/>
      <c r="T2" s="125"/>
    </row>
    <row r="3" spans="1:20" ht="15.75">
      <c r="A3" s="141" t="s">
        <v>156</v>
      </c>
      <c r="B3" s="140"/>
      <c r="C3" s="140"/>
      <c r="D3" s="140"/>
      <c r="E3" s="140"/>
      <c r="F3" s="140"/>
      <c r="G3" s="140"/>
      <c r="H3" s="140"/>
      <c r="I3" s="140"/>
      <c r="J3" s="140"/>
      <c r="K3" s="140"/>
      <c r="L3" s="140"/>
      <c r="M3" s="140"/>
      <c r="N3" s="140"/>
      <c r="O3" s="140"/>
      <c r="P3" s="126"/>
      <c r="Q3" s="126"/>
      <c r="R3" s="126"/>
      <c r="S3" s="126"/>
      <c r="T3" s="126"/>
    </row>
    <row r="4" spans="1:20" ht="14.45" customHeight="1">
      <c r="A4" s="65"/>
      <c r="B4" s="106"/>
      <c r="C4" s="107"/>
      <c r="D4" s="107"/>
      <c r="E4" s="107"/>
      <c r="F4" s="107"/>
      <c r="G4" s="107"/>
      <c r="H4" s="107"/>
      <c r="I4" s="107"/>
      <c r="J4" s="107"/>
      <c r="K4" s="107"/>
      <c r="L4" s="107"/>
      <c r="M4" s="107"/>
      <c r="N4" s="107"/>
      <c r="O4" s="107"/>
      <c r="P4" s="127"/>
      <c r="Q4" s="127"/>
      <c r="R4" s="127"/>
      <c r="S4" s="127"/>
      <c r="T4" s="127"/>
    </row>
    <row r="5" spans="1:20" ht="26.25">
      <c r="A5" s="36"/>
      <c r="B5" s="36"/>
      <c r="C5" s="36"/>
      <c r="D5" s="108"/>
      <c r="E5" s="36"/>
      <c r="F5" s="36"/>
      <c r="G5" s="36"/>
      <c r="H5" s="36"/>
      <c r="I5" s="36"/>
      <c r="J5" s="36"/>
      <c r="K5" s="36"/>
      <c r="L5" s="36"/>
      <c r="M5" s="36"/>
      <c r="N5" s="36"/>
      <c r="O5" s="36"/>
      <c r="P5" s="127" t="s">
        <v>157</v>
      </c>
      <c r="Q5" s="127" t="s">
        <v>158</v>
      </c>
      <c r="R5" s="127" t="s">
        <v>159</v>
      </c>
      <c r="S5" s="127" t="s">
        <v>160</v>
      </c>
      <c r="T5" s="127" t="s">
        <v>161</v>
      </c>
    </row>
    <row r="6" spans="1:20" ht="25.5">
      <c r="A6" s="109" t="s">
        <v>1</v>
      </c>
      <c r="B6" s="110"/>
      <c r="C6" s="105" t="s">
        <v>2</v>
      </c>
      <c r="D6" s="194">
        <v>43101</v>
      </c>
      <c r="E6" s="111">
        <f>EDATE(D6,1)</f>
        <v>43132</v>
      </c>
      <c r="F6" s="111">
        <f t="shared" ref="F6:O6" si="0">EDATE(E6,1)</f>
        <v>43160</v>
      </c>
      <c r="G6" s="111">
        <f t="shared" si="0"/>
        <v>43191</v>
      </c>
      <c r="H6" s="111">
        <f t="shared" si="0"/>
        <v>43221</v>
      </c>
      <c r="I6" s="111">
        <f t="shared" si="0"/>
        <v>43252</v>
      </c>
      <c r="J6" s="111">
        <f t="shared" si="0"/>
        <v>43282</v>
      </c>
      <c r="K6" s="111">
        <f t="shared" si="0"/>
        <v>43313</v>
      </c>
      <c r="L6" s="111">
        <f t="shared" si="0"/>
        <v>43344</v>
      </c>
      <c r="M6" s="111">
        <f t="shared" si="0"/>
        <v>43374</v>
      </c>
      <c r="N6" s="111">
        <f t="shared" si="0"/>
        <v>43405</v>
      </c>
      <c r="O6" s="111">
        <f t="shared" si="0"/>
        <v>43435</v>
      </c>
      <c r="P6" s="128" t="s">
        <v>3</v>
      </c>
      <c r="Q6" s="128" t="s">
        <v>3</v>
      </c>
      <c r="R6" s="128" t="s">
        <v>3</v>
      </c>
      <c r="S6" s="128" t="s">
        <v>3</v>
      </c>
      <c r="T6" s="128"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8"/>
      <c r="Q7" s="8"/>
      <c r="R7" s="8"/>
      <c r="S7" s="8"/>
      <c r="T7" s="17"/>
    </row>
    <row r="8" spans="1:20">
      <c r="A8" s="65"/>
      <c r="B8" s="2" t="s">
        <v>19</v>
      </c>
      <c r="C8" s="65"/>
      <c r="D8" s="65"/>
      <c r="E8" s="65"/>
      <c r="F8" s="65"/>
      <c r="G8" s="65"/>
      <c r="H8" s="65"/>
      <c r="I8" s="65"/>
      <c r="J8" s="65"/>
      <c r="K8" s="65"/>
      <c r="L8" s="65"/>
      <c r="M8" s="65"/>
      <c r="N8" s="65"/>
      <c r="O8" s="65"/>
      <c r="P8" s="132"/>
      <c r="Q8" s="132"/>
      <c r="R8" s="132"/>
      <c r="S8" s="132"/>
      <c r="T8" s="17"/>
    </row>
    <row r="9" spans="1:20" ht="21" customHeight="1">
      <c r="A9" s="65">
        <v>1</v>
      </c>
      <c r="B9" s="36" t="s">
        <v>20</v>
      </c>
      <c r="C9" s="65" t="s">
        <v>21</v>
      </c>
      <c r="D9" s="34">
        <v>215198</v>
      </c>
      <c r="E9" s="34">
        <v>214197</v>
      </c>
      <c r="F9" s="34">
        <v>216045</v>
      </c>
      <c r="G9" s="34"/>
      <c r="H9" s="34"/>
      <c r="I9" s="34"/>
      <c r="J9" s="34"/>
      <c r="K9" s="34"/>
      <c r="L9" s="34"/>
      <c r="M9" s="34"/>
      <c r="N9" s="34"/>
      <c r="O9" s="34"/>
      <c r="P9" s="129">
        <f>SUM(D9:F9)</f>
        <v>645440</v>
      </c>
      <c r="Q9" s="129">
        <f>SUM(G9:I9)</f>
        <v>0</v>
      </c>
      <c r="R9" s="129">
        <f>SUM(J9:L9)</f>
        <v>0</v>
      </c>
      <c r="S9" s="129">
        <f>SUM(M9:O9)</f>
        <v>0</v>
      </c>
      <c r="T9" s="130">
        <f>SUM(D9:O9)</f>
        <v>645440</v>
      </c>
    </row>
    <row r="10" spans="1:20" ht="25.5">
      <c r="A10" s="104">
        <f>A9+1</f>
        <v>2</v>
      </c>
      <c r="B10" s="112" t="s">
        <v>22</v>
      </c>
      <c r="C10" s="112" t="s">
        <v>94</v>
      </c>
      <c r="D10" s="113">
        <v>88.322763278236906</v>
      </c>
      <c r="E10" s="113">
        <v>72.165165657020907</v>
      </c>
      <c r="F10" s="113">
        <v>70.972141606104245</v>
      </c>
      <c r="G10" s="113">
        <v>53.464415602104843</v>
      </c>
      <c r="H10" s="113">
        <v>51.698952694282845</v>
      </c>
      <c r="I10" s="113">
        <v>45.971109410999645</v>
      </c>
      <c r="J10" s="113">
        <v>47.581058675761213</v>
      </c>
      <c r="K10" s="113">
        <v>56.256559389250889</v>
      </c>
      <c r="L10" s="113">
        <v>45.471467138196999</v>
      </c>
      <c r="M10" s="113">
        <v>54.001684320194592</v>
      </c>
      <c r="N10" s="113">
        <v>65.980997284292343</v>
      </c>
      <c r="O10" s="113">
        <v>86.053684943554572</v>
      </c>
      <c r="P10" s="113">
        <f>P11/P9</f>
        <v>77.152981428913193</v>
      </c>
      <c r="Q10" s="113" t="e">
        <f>Q11/Q9</f>
        <v>#DIV/0!</v>
      </c>
      <c r="R10" s="113" t="e">
        <f>R11/R9</f>
        <v>#DIV/0!</v>
      </c>
      <c r="S10" s="113" t="e">
        <f>S11/S9</f>
        <v>#DIV/0!</v>
      </c>
      <c r="T10" s="113">
        <f>T11/T9</f>
        <v>77.152981428913193</v>
      </c>
    </row>
    <row r="11" spans="1:20">
      <c r="A11" s="65">
        <f>A10+1</f>
        <v>3</v>
      </c>
      <c r="B11" s="36" t="s">
        <v>23</v>
      </c>
      <c r="C11" s="65" t="str">
        <f>"("&amp;A9&amp;") x ("&amp;A10&amp;")"</f>
        <v>(1) x (2)</v>
      </c>
      <c r="D11" s="69">
        <f>D9*D10</f>
        <v>19006882.011950027</v>
      </c>
      <c r="E11" s="69">
        <f>E9*E10</f>
        <v>15457561.988236908</v>
      </c>
      <c r="F11" s="69">
        <f t="shared" ref="F11:O11" si="1">F9*F10</f>
        <v>15333176.333290791</v>
      </c>
      <c r="G11" s="69">
        <f t="shared" si="1"/>
        <v>0</v>
      </c>
      <c r="H11" s="69">
        <f t="shared" si="1"/>
        <v>0</v>
      </c>
      <c r="I11" s="69">
        <f t="shared" si="1"/>
        <v>0</v>
      </c>
      <c r="J11" s="69">
        <f t="shared" si="1"/>
        <v>0</v>
      </c>
      <c r="K11" s="69">
        <f t="shared" si="1"/>
        <v>0</v>
      </c>
      <c r="L11" s="69">
        <f t="shared" si="1"/>
        <v>0</v>
      </c>
      <c r="M11" s="69">
        <f t="shared" si="1"/>
        <v>0</v>
      </c>
      <c r="N11" s="69">
        <f t="shared" si="1"/>
        <v>0</v>
      </c>
      <c r="O11" s="69">
        <f t="shared" si="1"/>
        <v>0</v>
      </c>
      <c r="P11" s="119">
        <f>SUM(D11:F11)</f>
        <v>49797620.333477728</v>
      </c>
      <c r="Q11" s="119">
        <f>SUM(G11:I11)</f>
        <v>0</v>
      </c>
      <c r="R11" s="119">
        <f>SUM(J11:L11)</f>
        <v>0</v>
      </c>
      <c r="S11" s="119">
        <f>SUM(M11:O11)</f>
        <v>0</v>
      </c>
      <c r="T11" s="131">
        <f>SUM(D11:O11)</f>
        <v>49797620.333477728</v>
      </c>
    </row>
    <row r="12" spans="1:20">
      <c r="A12" s="65"/>
      <c r="B12" s="36"/>
      <c r="C12" s="65"/>
      <c r="D12" s="66"/>
      <c r="E12" s="66"/>
      <c r="F12" s="66"/>
      <c r="G12" s="66"/>
      <c r="H12" s="66"/>
      <c r="I12" s="66"/>
      <c r="J12" s="66"/>
      <c r="K12" s="66"/>
      <c r="L12" s="66"/>
      <c r="M12" s="66"/>
      <c r="N12" s="66"/>
      <c r="O12" s="66"/>
      <c r="P12" s="129"/>
      <c r="Q12" s="129"/>
      <c r="R12" s="129"/>
      <c r="S12" s="129"/>
      <c r="T12" s="129"/>
    </row>
    <row r="13" spans="1:20">
      <c r="A13" s="65">
        <v>4</v>
      </c>
      <c r="B13" s="36" t="s">
        <v>37</v>
      </c>
      <c r="C13" s="65" t="s">
        <v>21</v>
      </c>
      <c r="D13" s="114">
        <v>25009939.587409999</v>
      </c>
      <c r="E13" s="114">
        <v>19040388.028110001</v>
      </c>
      <c r="F13" s="114">
        <v>20324942.72913</v>
      </c>
      <c r="G13" s="114"/>
      <c r="H13" s="114"/>
      <c r="I13" s="114"/>
      <c r="J13" s="114"/>
      <c r="K13" s="114"/>
      <c r="L13" s="114"/>
      <c r="M13" s="114"/>
      <c r="N13" s="114"/>
      <c r="O13" s="114"/>
      <c r="P13" s="162"/>
      <c r="Q13" s="162"/>
      <c r="R13" s="162"/>
      <c r="S13" s="133"/>
      <c r="T13" s="134"/>
    </row>
    <row r="14" spans="1:20">
      <c r="A14" s="65">
        <v>5</v>
      </c>
      <c r="B14" s="36" t="s">
        <v>38</v>
      </c>
      <c r="C14" s="65" t="s">
        <v>21</v>
      </c>
      <c r="D14" s="114">
        <v>1864092.5</v>
      </c>
      <c r="E14" s="114">
        <v>1853017</v>
      </c>
      <c r="F14" s="114">
        <v>1875006.5</v>
      </c>
      <c r="G14" s="114"/>
      <c r="H14" s="114"/>
      <c r="I14" s="114"/>
      <c r="J14" s="114"/>
      <c r="K14" s="114"/>
      <c r="L14" s="114"/>
      <c r="M14" s="114"/>
      <c r="N14" s="114"/>
      <c r="O14" s="114"/>
      <c r="P14" s="119"/>
      <c r="Q14" s="119"/>
      <c r="R14" s="119"/>
      <c r="S14" s="119"/>
      <c r="T14" s="131"/>
    </row>
    <row r="15" spans="1:20">
      <c r="A15" s="65">
        <v>6</v>
      </c>
      <c r="B15" s="6" t="s">
        <v>41</v>
      </c>
      <c r="C15" s="65" t="s">
        <v>21</v>
      </c>
      <c r="D15" s="115">
        <v>273974209.06200004</v>
      </c>
      <c r="E15" s="115">
        <v>216157402.58499998</v>
      </c>
      <c r="F15" s="115">
        <v>230597488.20699999</v>
      </c>
      <c r="G15" s="115"/>
      <c r="H15" s="115"/>
      <c r="I15" s="115"/>
      <c r="J15" s="115"/>
      <c r="K15" s="115"/>
      <c r="L15" s="115"/>
      <c r="M15" s="115"/>
      <c r="N15" s="115"/>
      <c r="O15" s="115"/>
      <c r="P15" s="119"/>
      <c r="Q15" s="119"/>
      <c r="R15" s="119"/>
      <c r="S15" s="119"/>
      <c r="T15" s="131"/>
    </row>
    <row r="16" spans="1:20" ht="26.25">
      <c r="A16" s="65">
        <v>7</v>
      </c>
      <c r="B16" s="17" t="s">
        <v>39</v>
      </c>
      <c r="C16" s="116" t="s">
        <v>95</v>
      </c>
      <c r="D16" s="117">
        <v>1.6410000000000001E-2</v>
      </c>
      <c r="E16" s="117">
        <v>1.6410000000000001E-2</v>
      </c>
      <c r="F16" s="117">
        <v>1.6410000000000001E-2</v>
      </c>
      <c r="G16" s="117">
        <v>1.6410000000000001E-2</v>
      </c>
      <c r="H16" s="117">
        <v>1.6410000000000001E-2</v>
      </c>
      <c r="I16" s="117">
        <v>1.6410000000000001E-2</v>
      </c>
      <c r="J16" s="117">
        <v>1.6410000000000001E-2</v>
      </c>
      <c r="K16" s="117">
        <v>1.6410000000000001E-2</v>
      </c>
      <c r="L16" s="117">
        <v>1.6410000000000001E-2</v>
      </c>
      <c r="M16" s="117">
        <v>1.6410000000000001E-2</v>
      </c>
      <c r="N16" s="117">
        <v>1.6410000000000001E-2</v>
      </c>
      <c r="O16" s="117">
        <v>1.6410000000000001E-2</v>
      </c>
      <c r="P16" s="135"/>
      <c r="Q16" s="135"/>
      <c r="R16" s="135"/>
      <c r="S16" s="135"/>
      <c r="T16" s="135"/>
    </row>
    <row r="17" spans="1:21">
      <c r="A17" s="65">
        <v>8</v>
      </c>
      <c r="B17" s="36" t="s">
        <v>40</v>
      </c>
      <c r="C17" s="65" t="str">
        <f>"("&amp;A15&amp;") x ("&amp;A16&amp;")"</f>
        <v>(6) x (7)</v>
      </c>
      <c r="D17" s="69">
        <f t="shared" ref="D17:O17" si="2">D15*D16</f>
        <v>4495916.770707421</v>
      </c>
      <c r="E17" s="69">
        <f t="shared" si="2"/>
        <v>3547142.9764198498</v>
      </c>
      <c r="F17" s="69">
        <f t="shared" si="2"/>
        <v>3784104.7814768702</v>
      </c>
      <c r="G17" s="69">
        <f t="shared" si="2"/>
        <v>0</v>
      </c>
      <c r="H17" s="69">
        <f t="shared" si="2"/>
        <v>0</v>
      </c>
      <c r="I17" s="69">
        <f t="shared" si="2"/>
        <v>0</v>
      </c>
      <c r="J17" s="69">
        <f t="shared" si="2"/>
        <v>0</v>
      </c>
      <c r="K17" s="69">
        <f t="shared" si="2"/>
        <v>0</v>
      </c>
      <c r="L17" s="69">
        <f t="shared" si="2"/>
        <v>0</v>
      </c>
      <c r="M17" s="69">
        <f t="shared" si="2"/>
        <v>0</v>
      </c>
      <c r="N17" s="69">
        <f t="shared" si="2"/>
        <v>0</v>
      </c>
      <c r="O17" s="69">
        <f t="shared" si="2"/>
        <v>0</v>
      </c>
      <c r="P17" s="119"/>
      <c r="Q17" s="119"/>
      <c r="R17" s="119"/>
      <c r="S17" s="119"/>
      <c r="T17" s="131"/>
    </row>
    <row r="18" spans="1:21">
      <c r="A18" s="65">
        <v>9</v>
      </c>
      <c r="B18" s="36" t="s">
        <v>25</v>
      </c>
      <c r="C18" s="65" t="str">
        <f>"("&amp;A13&amp;") - ("&amp;A14&amp;") -("&amp;A17&amp;")"</f>
        <v>(4) - (5) -(8)</v>
      </c>
      <c r="D18" s="69">
        <f>D13-D14-D17</f>
        <v>18649930.316702578</v>
      </c>
      <c r="E18" s="69">
        <f t="shared" ref="E18:O18" si="3">E13-E14-E17</f>
        <v>13640228.051690152</v>
      </c>
      <c r="F18" s="69">
        <f t="shared" si="3"/>
        <v>14665831.44765313</v>
      </c>
      <c r="G18" s="69">
        <f t="shared" si="3"/>
        <v>0</v>
      </c>
      <c r="H18" s="69">
        <f t="shared" si="3"/>
        <v>0</v>
      </c>
      <c r="I18" s="69">
        <f t="shared" si="3"/>
        <v>0</v>
      </c>
      <c r="J18" s="69">
        <f t="shared" si="3"/>
        <v>0</v>
      </c>
      <c r="K18" s="69">
        <f t="shared" si="3"/>
        <v>0</v>
      </c>
      <c r="L18" s="69">
        <f t="shared" si="3"/>
        <v>0</v>
      </c>
      <c r="M18" s="69">
        <f t="shared" si="3"/>
        <v>0</v>
      </c>
      <c r="N18" s="69">
        <f t="shared" si="3"/>
        <v>0</v>
      </c>
      <c r="O18" s="69">
        <f t="shared" si="3"/>
        <v>0</v>
      </c>
      <c r="P18" s="119">
        <f>SUM(D18:F18)</f>
        <v>46955989.816045858</v>
      </c>
      <c r="Q18" s="119">
        <f>SUM(G18:I18)</f>
        <v>0</v>
      </c>
      <c r="R18" s="119">
        <f>SUM(J18:L18)</f>
        <v>0</v>
      </c>
      <c r="S18" s="119">
        <f>SUM(M18:O18)</f>
        <v>0</v>
      </c>
      <c r="T18" s="131">
        <f>SUM(D18:O18)</f>
        <v>46955989.816045858</v>
      </c>
    </row>
    <row r="19" spans="1:21">
      <c r="A19" s="65"/>
      <c r="B19" s="118" t="s">
        <v>26</v>
      </c>
      <c r="C19" s="65"/>
      <c r="D19" s="33">
        <f t="shared" ref="D19:O19" si="4">D18/D9</f>
        <v>86.664050394067687</v>
      </c>
      <c r="E19" s="33">
        <f t="shared" si="4"/>
        <v>63.680761409777688</v>
      </c>
      <c r="F19" s="33">
        <f t="shared" si="4"/>
        <v>67.883225474568405</v>
      </c>
      <c r="G19" s="33" t="e">
        <f t="shared" si="4"/>
        <v>#DIV/0!</v>
      </c>
      <c r="H19" s="33" t="e">
        <f t="shared" si="4"/>
        <v>#DIV/0!</v>
      </c>
      <c r="I19" s="33" t="e">
        <f t="shared" si="4"/>
        <v>#DIV/0!</v>
      </c>
      <c r="J19" s="33" t="e">
        <f t="shared" si="4"/>
        <v>#DIV/0!</v>
      </c>
      <c r="K19" s="33" t="e">
        <f t="shared" si="4"/>
        <v>#DIV/0!</v>
      </c>
      <c r="L19" s="33" t="e">
        <f t="shared" si="4"/>
        <v>#DIV/0!</v>
      </c>
      <c r="M19" s="33" t="e">
        <f t="shared" si="4"/>
        <v>#DIV/0!</v>
      </c>
      <c r="N19" s="33" t="e">
        <f t="shared" si="4"/>
        <v>#DIV/0!</v>
      </c>
      <c r="O19" s="33" t="e">
        <f t="shared" si="4"/>
        <v>#DIV/0!</v>
      </c>
      <c r="P19" s="135">
        <f>P18/P9</f>
        <v>72.750356061052699</v>
      </c>
      <c r="Q19" s="135" t="e">
        <f>Q18/Q9</f>
        <v>#DIV/0!</v>
      </c>
      <c r="R19" s="135" t="e">
        <f>R18/R9</f>
        <v>#DIV/0!</v>
      </c>
      <c r="S19" s="135" t="e">
        <f>S18/S9</f>
        <v>#DIV/0!</v>
      </c>
      <c r="T19" s="135">
        <f>T18/T9</f>
        <v>72.750356061052699</v>
      </c>
    </row>
    <row r="20" spans="1:21">
      <c r="A20" s="65">
        <v>10</v>
      </c>
      <c r="B20" s="36" t="s">
        <v>27</v>
      </c>
      <c r="C20" s="65" t="str">
        <f>"("&amp;A$11&amp;") - ("&amp;A18&amp;")"</f>
        <v>(3) - (9)</v>
      </c>
      <c r="D20" s="119">
        <f t="shared" ref="D20:O20" si="5">D11-D18</f>
        <v>356951.69524744898</v>
      </c>
      <c r="E20" s="119">
        <f t="shared" si="5"/>
        <v>1817333.936546756</v>
      </c>
      <c r="F20" s="119">
        <f t="shared" si="5"/>
        <v>667344.88563766144</v>
      </c>
      <c r="G20" s="119">
        <f t="shared" si="5"/>
        <v>0</v>
      </c>
      <c r="H20" s="119">
        <f t="shared" si="5"/>
        <v>0</v>
      </c>
      <c r="I20" s="119">
        <f t="shared" si="5"/>
        <v>0</v>
      </c>
      <c r="J20" s="119">
        <f t="shared" si="5"/>
        <v>0</v>
      </c>
      <c r="K20" s="119">
        <f t="shared" si="5"/>
        <v>0</v>
      </c>
      <c r="L20" s="119">
        <f t="shared" si="5"/>
        <v>0</v>
      </c>
      <c r="M20" s="119">
        <f>M11-M18</f>
        <v>0</v>
      </c>
      <c r="N20" s="119">
        <f t="shared" si="5"/>
        <v>0</v>
      </c>
      <c r="O20" s="119">
        <f t="shared" si="5"/>
        <v>0</v>
      </c>
      <c r="P20" s="119">
        <f>SUM(D20:F20)</f>
        <v>2841630.5174318664</v>
      </c>
      <c r="Q20" s="119">
        <f>SUM(G20:I20)</f>
        <v>0</v>
      </c>
      <c r="R20" s="119">
        <f>SUM(J20:L20)</f>
        <v>0</v>
      </c>
      <c r="S20" s="119">
        <f>SUM(M20:O20)</f>
        <v>0</v>
      </c>
      <c r="T20" s="131">
        <f>SUM(D20:O20)</f>
        <v>2841630.5174318664</v>
      </c>
    </row>
    <row r="21" spans="1:21">
      <c r="A21" s="65">
        <v>11</v>
      </c>
      <c r="B21" s="36" t="s">
        <v>28</v>
      </c>
      <c r="C21" s="16" t="s">
        <v>29</v>
      </c>
      <c r="D21" s="119">
        <f>D20*-0.04588</f>
        <v>-16376.943777952958</v>
      </c>
      <c r="E21" s="119">
        <f>E20*-0.04588</f>
        <v>-83379.28100876516</v>
      </c>
      <c r="F21" s="119">
        <f t="shared" ref="F21:O21" si="6">F20*-0.04588</f>
        <v>-30617.783353055904</v>
      </c>
      <c r="G21" s="119">
        <f t="shared" si="6"/>
        <v>0</v>
      </c>
      <c r="H21" s="119">
        <f t="shared" si="6"/>
        <v>0</v>
      </c>
      <c r="I21" s="119">
        <f t="shared" si="6"/>
        <v>0</v>
      </c>
      <c r="J21" s="119">
        <f t="shared" si="6"/>
        <v>0</v>
      </c>
      <c r="K21" s="119">
        <f t="shared" si="6"/>
        <v>0</v>
      </c>
      <c r="L21" s="119">
        <f t="shared" si="6"/>
        <v>0</v>
      </c>
      <c r="M21" s="119">
        <f t="shared" si="6"/>
        <v>0</v>
      </c>
      <c r="N21" s="119">
        <f t="shared" si="6"/>
        <v>0</v>
      </c>
      <c r="O21" s="119">
        <f t="shared" si="6"/>
        <v>0</v>
      </c>
      <c r="P21" s="119">
        <f>SUM(D21:F21)</f>
        <v>-130374.00813977401</v>
      </c>
      <c r="Q21" s="119">
        <f>SUM(G21:I21)</f>
        <v>0</v>
      </c>
      <c r="R21" s="119">
        <f>SUM(J21:L21)</f>
        <v>0</v>
      </c>
      <c r="S21" s="119">
        <f>SUM(M21:O21)</f>
        <v>0</v>
      </c>
      <c r="T21" s="131">
        <f>SUM(D21:O21)</f>
        <v>-130374.00813977401</v>
      </c>
    </row>
    <row r="22" spans="1:21" ht="14.45" customHeight="1">
      <c r="A22" s="65"/>
      <c r="B22" s="36"/>
      <c r="C22" s="65" t="s">
        <v>30</v>
      </c>
      <c r="D22" s="120">
        <v>4.2500000000000003E-2</v>
      </c>
      <c r="E22" s="120">
        <f t="shared" ref="E22:I22" si="7">D22</f>
        <v>4.2500000000000003E-2</v>
      </c>
      <c r="F22" s="120">
        <f t="shared" si="7"/>
        <v>4.2500000000000003E-2</v>
      </c>
      <c r="G22" s="120">
        <v>0</v>
      </c>
      <c r="H22" s="120">
        <f t="shared" si="7"/>
        <v>0</v>
      </c>
      <c r="I22" s="120">
        <f t="shared" si="7"/>
        <v>0</v>
      </c>
      <c r="J22" s="120">
        <v>0</v>
      </c>
      <c r="K22" s="120">
        <f t="shared" ref="K22" si="8">J22</f>
        <v>0</v>
      </c>
      <c r="L22" s="120">
        <f t="shared" ref="L22" si="9">K22</f>
        <v>0</v>
      </c>
      <c r="M22" s="120">
        <v>0</v>
      </c>
      <c r="N22" s="120">
        <f t="shared" ref="N22" si="10">M22</f>
        <v>0</v>
      </c>
      <c r="O22" s="120">
        <f t="shared" ref="O22" si="11">N22</f>
        <v>0</v>
      </c>
      <c r="P22" s="120"/>
      <c r="Q22" s="120"/>
      <c r="R22" s="120"/>
      <c r="S22" s="120"/>
      <c r="T22" s="131"/>
    </row>
    <row r="23" spans="1:21">
      <c r="A23" s="65">
        <v>12</v>
      </c>
      <c r="B23" s="36" t="s">
        <v>31</v>
      </c>
      <c r="C23" s="65" t="s">
        <v>35</v>
      </c>
      <c r="D23" s="9">
        <f>(D20+D21)/2*D22/12</f>
        <v>603.10112239389923</v>
      </c>
      <c r="E23" s="9">
        <f>(D25+(E20+E21)/2)*E22/12</f>
        <v>4278.8829304448027</v>
      </c>
      <c r="F23" s="9">
        <f t="shared" ref="F23:O23" si="12">(E25+(F20+F21)/2)*F22/12</f>
        <v>8492.119586967643</v>
      </c>
      <c r="G23" s="9">
        <f t="shared" si="12"/>
        <v>0</v>
      </c>
      <c r="H23" s="9">
        <f t="shared" si="12"/>
        <v>0</v>
      </c>
      <c r="I23" s="9">
        <f t="shared" si="12"/>
        <v>0</v>
      </c>
      <c r="J23" s="9">
        <f t="shared" si="12"/>
        <v>0</v>
      </c>
      <c r="K23" s="9">
        <f t="shared" si="12"/>
        <v>0</v>
      </c>
      <c r="L23" s="9">
        <f t="shared" si="12"/>
        <v>0</v>
      </c>
      <c r="M23" s="9">
        <f t="shared" si="12"/>
        <v>0</v>
      </c>
      <c r="N23" s="9">
        <f t="shared" si="12"/>
        <v>0</v>
      </c>
      <c r="O23" s="9">
        <f t="shared" si="12"/>
        <v>0</v>
      </c>
      <c r="P23" s="119">
        <f>SUM(D23:F23)</f>
        <v>13374.103639806344</v>
      </c>
      <c r="Q23" s="119">
        <f>SUM(G23:I23)</f>
        <v>0</v>
      </c>
      <c r="R23" s="119">
        <f>SUM(J23:L23)</f>
        <v>0</v>
      </c>
      <c r="S23" s="119">
        <f>SUM(M23:O23)</f>
        <v>0</v>
      </c>
      <c r="T23" s="131">
        <f>SUM(D23:O23)</f>
        <v>13374.103639806344</v>
      </c>
    </row>
    <row r="24" spans="1:21" ht="14.45" customHeight="1" thickBot="1">
      <c r="A24" s="65"/>
      <c r="B24" s="10" t="s">
        <v>32</v>
      </c>
      <c r="C24" s="65"/>
      <c r="D24" s="12">
        <f>D20+D21+D23</f>
        <v>341177.85259188991</v>
      </c>
      <c r="E24" s="12">
        <f t="shared" ref="E24:O24" si="13">E20+E21+E23</f>
        <v>1738233.5384684356</v>
      </c>
      <c r="F24" s="12">
        <f t="shared" si="13"/>
        <v>645219.22187157313</v>
      </c>
      <c r="G24" s="12">
        <f t="shared" si="13"/>
        <v>0</v>
      </c>
      <c r="H24" s="12">
        <f t="shared" si="13"/>
        <v>0</v>
      </c>
      <c r="I24" s="12">
        <f t="shared" si="13"/>
        <v>0</v>
      </c>
      <c r="J24" s="12">
        <f t="shared" si="13"/>
        <v>0</v>
      </c>
      <c r="K24" s="12">
        <f t="shared" si="13"/>
        <v>0</v>
      </c>
      <c r="L24" s="12">
        <f t="shared" si="13"/>
        <v>0</v>
      </c>
      <c r="M24" s="12">
        <f t="shared" si="13"/>
        <v>0</v>
      </c>
      <c r="N24" s="12">
        <f t="shared" si="13"/>
        <v>0</v>
      </c>
      <c r="O24" s="12">
        <f t="shared" si="13"/>
        <v>0</v>
      </c>
      <c r="P24" s="136">
        <f>P20+P21+P23</f>
        <v>2724630.6129318983</v>
      </c>
      <c r="Q24" s="136">
        <f>Q20+Q21+Q23</f>
        <v>0</v>
      </c>
      <c r="R24" s="136">
        <f>R20+R21+R23</f>
        <v>0</v>
      </c>
      <c r="S24" s="136">
        <f>S20+S21+S23</f>
        <v>0</v>
      </c>
      <c r="T24" s="136">
        <f>T20+T21+T23</f>
        <v>2724630.6129318983</v>
      </c>
    </row>
    <row r="25" spans="1:21" ht="27" thickBot="1">
      <c r="A25" s="65">
        <v>13</v>
      </c>
      <c r="B25" s="139" t="s">
        <v>101</v>
      </c>
      <c r="C25" s="65" t="str">
        <f>"Σ(("&amp;A$20&amp;") ~ ("&amp;A23&amp;"))"</f>
        <v>Σ((10) ~ (12))</v>
      </c>
      <c r="D25" s="69">
        <f>D20+D21+D23</f>
        <v>341177.85259188991</v>
      </c>
      <c r="E25" s="69">
        <f>D25+E20+E21+E23</f>
        <v>2079411.3910603255</v>
      </c>
      <c r="F25" s="69">
        <f t="shared" ref="F25:O25" si="14">E25+F20+F21+F23</f>
        <v>2724630.6129318988</v>
      </c>
      <c r="G25" s="69">
        <f t="shared" si="14"/>
        <v>2724630.6129318988</v>
      </c>
      <c r="H25" s="69">
        <f t="shared" si="14"/>
        <v>2724630.6129318988</v>
      </c>
      <c r="I25" s="69">
        <f t="shared" si="14"/>
        <v>2724630.6129318988</v>
      </c>
      <c r="J25" s="69">
        <f t="shared" si="14"/>
        <v>2724630.6129318988</v>
      </c>
      <c r="K25" s="69">
        <f t="shared" si="14"/>
        <v>2724630.6129318988</v>
      </c>
      <c r="L25" s="69">
        <f t="shared" si="14"/>
        <v>2724630.6129318988</v>
      </c>
      <c r="M25" s="69">
        <f t="shared" si="14"/>
        <v>2724630.6129318988</v>
      </c>
      <c r="N25" s="69">
        <f t="shared" si="14"/>
        <v>2724630.6129318988</v>
      </c>
      <c r="O25" s="121">
        <f t="shared" si="14"/>
        <v>2724630.6129318988</v>
      </c>
      <c r="P25" s="119"/>
      <c r="Q25" s="119"/>
      <c r="R25" s="119"/>
      <c r="S25" s="119"/>
      <c r="T25" s="131"/>
    </row>
    <row r="26" spans="1:21" ht="14.45" customHeight="1">
      <c r="A26" s="65"/>
      <c r="B26" s="151"/>
      <c r="C26" s="65"/>
      <c r="D26" s="66"/>
      <c r="E26" s="66"/>
      <c r="F26" s="66"/>
      <c r="G26" s="66"/>
      <c r="H26" s="66"/>
      <c r="I26" s="66"/>
      <c r="J26" s="66"/>
      <c r="K26" s="66"/>
      <c r="L26" s="66"/>
      <c r="M26" s="66"/>
      <c r="N26" s="66"/>
      <c r="O26" s="66"/>
      <c r="P26" s="119"/>
      <c r="Q26" s="119"/>
      <c r="R26" s="119"/>
      <c r="S26" s="119"/>
      <c r="T26" s="131"/>
    </row>
    <row r="27" spans="1:21" ht="9" customHeight="1">
      <c r="A27" s="65"/>
      <c r="B27" s="151"/>
      <c r="C27" s="65"/>
      <c r="D27" s="69"/>
      <c r="E27" s="69"/>
      <c r="F27" s="69"/>
      <c r="G27" s="69"/>
      <c r="H27" s="67"/>
      <c r="I27" s="69"/>
      <c r="J27" s="69"/>
      <c r="K27" s="69"/>
      <c r="L27" s="69"/>
      <c r="M27" s="69"/>
      <c r="N27" s="69"/>
      <c r="O27" s="69"/>
      <c r="P27" s="113"/>
      <c r="Q27" s="137"/>
      <c r="R27" s="137"/>
      <c r="S27" s="137"/>
      <c r="T27" s="137"/>
      <c r="U27" s="82"/>
    </row>
    <row r="28" spans="1:21">
      <c r="A28" s="65"/>
      <c r="B28" s="2" t="s">
        <v>33</v>
      </c>
      <c r="C28" s="65"/>
      <c r="D28" s="69"/>
      <c r="E28" s="69"/>
      <c r="F28" s="69"/>
      <c r="G28" s="69"/>
      <c r="H28" s="69"/>
      <c r="I28" s="69"/>
      <c r="J28" s="69"/>
      <c r="K28" s="69"/>
      <c r="L28" s="69"/>
      <c r="M28" s="69"/>
      <c r="N28" s="69"/>
      <c r="O28" s="69"/>
      <c r="P28" s="119"/>
      <c r="Q28" s="119"/>
      <c r="R28" s="119"/>
      <c r="S28" s="119"/>
      <c r="T28" s="131"/>
    </row>
    <row r="29" spans="1:21">
      <c r="A29" s="65">
        <v>14</v>
      </c>
      <c r="B29" s="36" t="s">
        <v>20</v>
      </c>
      <c r="C29" s="65" t="s">
        <v>21</v>
      </c>
      <c r="D29" s="34">
        <v>36869</v>
      </c>
      <c r="E29" s="34">
        <v>36446</v>
      </c>
      <c r="F29" s="34">
        <v>36553</v>
      </c>
      <c r="G29" s="34"/>
      <c r="H29" s="34"/>
      <c r="I29" s="34"/>
      <c r="J29" s="34"/>
      <c r="K29" s="34"/>
      <c r="L29" s="34"/>
      <c r="M29" s="34"/>
      <c r="N29" s="34"/>
      <c r="O29" s="34"/>
      <c r="P29" s="129">
        <f>SUM(D29:F29)</f>
        <v>109868</v>
      </c>
      <c r="Q29" s="129">
        <f>SUM(G29:I29)</f>
        <v>0</v>
      </c>
      <c r="R29" s="129">
        <f>SUM(J29:L29)</f>
        <v>0</v>
      </c>
      <c r="S29" s="129">
        <f>SUM(M29:O29)</f>
        <v>0</v>
      </c>
      <c r="T29" s="130">
        <f>SUM(D29:O29)</f>
        <v>109868</v>
      </c>
    </row>
    <row r="30" spans="1:21" ht="29.45" customHeight="1">
      <c r="A30" s="104">
        <f>A29+1</f>
        <v>15</v>
      </c>
      <c r="B30" s="112" t="s">
        <v>22</v>
      </c>
      <c r="C30" s="112" t="s">
        <v>96</v>
      </c>
      <c r="D30" s="113">
        <v>362.51153702538215</v>
      </c>
      <c r="E30" s="113">
        <v>368.64634553355734</v>
      </c>
      <c r="F30" s="113">
        <v>345.3608332677303</v>
      </c>
      <c r="G30" s="113">
        <v>343.55068665310012</v>
      </c>
      <c r="H30" s="113">
        <v>369.90915568717207</v>
      </c>
      <c r="I30" s="113">
        <v>385.26617826211447</v>
      </c>
      <c r="J30" s="113">
        <v>416.90498753163007</v>
      </c>
      <c r="K30" s="113">
        <v>389.59606971640318</v>
      </c>
      <c r="L30" s="113">
        <v>372.63402682785289</v>
      </c>
      <c r="M30" s="113">
        <v>380.4894875098293</v>
      </c>
      <c r="N30" s="113">
        <v>350.01632614600436</v>
      </c>
      <c r="O30" s="113">
        <v>369.7043658392239</v>
      </c>
      <c r="P30" s="113">
        <f>P31/P29</f>
        <v>358.84058239287322</v>
      </c>
      <c r="Q30" s="113" t="e">
        <f>Q31/Q29</f>
        <v>#DIV/0!</v>
      </c>
      <c r="R30" s="113" t="e">
        <f>R31/R29</f>
        <v>#DIV/0!</v>
      </c>
      <c r="S30" s="113" t="e">
        <f>S31/S29</f>
        <v>#DIV/0!</v>
      </c>
      <c r="T30" s="113">
        <f>T31/T29</f>
        <v>358.84058239287322</v>
      </c>
    </row>
    <row r="31" spans="1:21">
      <c r="A31" s="65">
        <f>A30+1</f>
        <v>16</v>
      </c>
      <c r="B31" s="36" t="s">
        <v>23</v>
      </c>
      <c r="C31" s="65" t="str">
        <f>"("&amp;A29&amp;") x ("&amp;A30&amp;")"</f>
        <v>(14) x (15)</v>
      </c>
      <c r="D31" s="69">
        <f t="shared" ref="D31:O31" si="15">D29*D30</f>
        <v>13365437.858588815</v>
      </c>
      <c r="E31" s="69">
        <f t="shared" si="15"/>
        <v>13435684.70931603</v>
      </c>
      <c r="F31" s="69">
        <f t="shared" si="15"/>
        <v>12623974.538435346</v>
      </c>
      <c r="G31" s="69">
        <f t="shared" si="15"/>
        <v>0</v>
      </c>
      <c r="H31" s="69">
        <f t="shared" si="15"/>
        <v>0</v>
      </c>
      <c r="I31" s="69">
        <f t="shared" si="15"/>
        <v>0</v>
      </c>
      <c r="J31" s="69">
        <f t="shared" si="15"/>
        <v>0</v>
      </c>
      <c r="K31" s="69">
        <f t="shared" si="15"/>
        <v>0</v>
      </c>
      <c r="L31" s="69">
        <f t="shared" si="15"/>
        <v>0</v>
      </c>
      <c r="M31" s="69">
        <f t="shared" si="15"/>
        <v>0</v>
      </c>
      <c r="N31" s="69">
        <f t="shared" si="15"/>
        <v>0</v>
      </c>
      <c r="O31" s="69">
        <f t="shared" si="15"/>
        <v>0</v>
      </c>
      <c r="P31" s="119">
        <f>SUM(D31:F31)</f>
        <v>39425097.106340192</v>
      </c>
      <c r="Q31" s="119">
        <f>SUM(G31:I31)</f>
        <v>0</v>
      </c>
      <c r="R31" s="119">
        <f>SUM(J31:L31)</f>
        <v>0</v>
      </c>
      <c r="S31" s="119">
        <f>SUM(M31:O31)</f>
        <v>0</v>
      </c>
      <c r="T31" s="131">
        <f>SUM(D31:O31)</f>
        <v>39425097.106340192</v>
      </c>
    </row>
    <row r="32" spans="1:21">
      <c r="A32" s="65"/>
      <c r="B32" s="36"/>
      <c r="C32" s="65"/>
      <c r="D32" s="66"/>
      <c r="E32" s="66"/>
      <c r="F32" s="66"/>
      <c r="G32" s="66"/>
      <c r="H32" s="66"/>
      <c r="I32" s="69"/>
      <c r="J32" s="66"/>
      <c r="K32" s="66"/>
      <c r="L32" s="66"/>
      <c r="M32" s="66"/>
      <c r="N32" s="66"/>
      <c r="O32" s="66"/>
      <c r="P32" s="132"/>
      <c r="Q32" s="132"/>
      <c r="R32" s="132"/>
      <c r="S32" s="132"/>
      <c r="T32" s="17"/>
    </row>
    <row r="33" spans="1:20">
      <c r="A33" s="65">
        <v>17</v>
      </c>
      <c r="B33" s="36" t="s">
        <v>37</v>
      </c>
      <c r="C33" s="65" t="s">
        <v>21</v>
      </c>
      <c r="D33" s="114">
        <v>17231332.135527994</v>
      </c>
      <c r="E33" s="114">
        <v>17495590.564329997</v>
      </c>
      <c r="F33" s="114">
        <v>16790327.355908003</v>
      </c>
      <c r="G33" s="114"/>
      <c r="H33" s="114"/>
      <c r="I33" s="114"/>
      <c r="J33" s="114"/>
      <c r="K33" s="114"/>
      <c r="L33" s="114"/>
      <c r="M33" s="114"/>
      <c r="N33" s="114"/>
      <c r="O33" s="114"/>
      <c r="P33" s="119"/>
      <c r="Q33" s="119"/>
      <c r="R33" s="119"/>
      <c r="S33" s="119"/>
      <c r="T33" s="17"/>
    </row>
    <row r="34" spans="1:20">
      <c r="A34" s="65">
        <f>A33+1</f>
        <v>18</v>
      </c>
      <c r="B34" s="36" t="s">
        <v>38</v>
      </c>
      <c r="C34" s="65" t="s">
        <v>21</v>
      </c>
      <c r="D34" s="114">
        <v>1599353.29</v>
      </c>
      <c r="E34" s="114">
        <v>1583614.6400000001</v>
      </c>
      <c r="F34" s="114">
        <v>1592066.47</v>
      </c>
      <c r="G34" s="114"/>
      <c r="H34" s="114"/>
      <c r="I34" s="114"/>
      <c r="J34" s="114"/>
      <c r="K34" s="114"/>
      <c r="L34" s="114"/>
      <c r="M34" s="114"/>
      <c r="N34" s="114"/>
      <c r="O34" s="114"/>
      <c r="P34" s="119"/>
      <c r="Q34" s="119"/>
      <c r="R34" s="119"/>
      <c r="S34" s="119"/>
      <c r="T34" s="17"/>
    </row>
    <row r="35" spans="1:20">
      <c r="A35" s="65">
        <f>A34+1</f>
        <v>19</v>
      </c>
      <c r="B35" s="6" t="s">
        <v>41</v>
      </c>
      <c r="C35" s="65" t="s">
        <v>21</v>
      </c>
      <c r="D35" s="115">
        <v>175021622.33399999</v>
      </c>
      <c r="E35" s="115">
        <v>177591618.72100002</v>
      </c>
      <c r="F35" s="115">
        <v>168228412.38800001</v>
      </c>
      <c r="G35" s="115"/>
      <c r="H35" s="115"/>
      <c r="I35" s="115"/>
      <c r="J35" s="115"/>
      <c r="K35" s="115"/>
      <c r="L35" s="115"/>
      <c r="M35" s="115"/>
      <c r="N35" s="115"/>
      <c r="O35" s="115"/>
      <c r="P35" s="129"/>
      <c r="Q35" s="129"/>
      <c r="R35" s="129"/>
      <c r="S35" s="129"/>
      <c r="T35" s="17"/>
    </row>
    <row r="36" spans="1:20" ht="26.25">
      <c r="A36" s="65">
        <f>A35+1</f>
        <v>20</v>
      </c>
      <c r="B36" s="17" t="s">
        <v>39</v>
      </c>
      <c r="C36" s="116" t="s">
        <v>95</v>
      </c>
      <c r="D36" s="117">
        <v>1.6410000000000001E-2</v>
      </c>
      <c r="E36" s="117">
        <v>1.6410000000000001E-2</v>
      </c>
      <c r="F36" s="117">
        <v>1.6410000000000001E-2</v>
      </c>
      <c r="G36" s="117">
        <v>1.6410000000000001E-2</v>
      </c>
      <c r="H36" s="117">
        <v>1.6410000000000001E-2</v>
      </c>
      <c r="I36" s="117">
        <v>1.6410000000000001E-2</v>
      </c>
      <c r="J36" s="117">
        <v>1.6410000000000001E-2</v>
      </c>
      <c r="K36" s="117">
        <v>1.6410000000000001E-2</v>
      </c>
      <c r="L36" s="117">
        <v>1.6410000000000001E-2</v>
      </c>
      <c r="M36" s="117">
        <v>1.6410000000000001E-2</v>
      </c>
      <c r="N36" s="117">
        <v>1.6410000000000001E-2</v>
      </c>
      <c r="O36" s="117">
        <v>1.6410000000000001E-2</v>
      </c>
      <c r="P36" s="133"/>
      <c r="Q36" s="133"/>
      <c r="R36" s="133"/>
      <c r="S36" s="133"/>
      <c r="T36" s="134"/>
    </row>
    <row r="37" spans="1:20">
      <c r="A37" s="65">
        <f>A36+1</f>
        <v>21</v>
      </c>
      <c r="B37" s="36" t="s">
        <v>40</v>
      </c>
      <c r="C37" s="65" t="str">
        <f>"("&amp;A35&amp;") x ("&amp;A36&amp;")"</f>
        <v>(19) x (20)</v>
      </c>
      <c r="D37" s="69">
        <f t="shared" ref="D37:O37" si="16">D35*D36</f>
        <v>2872104.8225009399</v>
      </c>
      <c r="E37" s="69">
        <f t="shared" si="16"/>
        <v>2914278.4632116104</v>
      </c>
      <c r="F37" s="69">
        <f t="shared" si="16"/>
        <v>2760628.2472870802</v>
      </c>
      <c r="G37" s="69">
        <f t="shared" si="16"/>
        <v>0</v>
      </c>
      <c r="H37" s="69">
        <f t="shared" si="16"/>
        <v>0</v>
      </c>
      <c r="I37" s="69">
        <f t="shared" si="16"/>
        <v>0</v>
      </c>
      <c r="J37" s="69">
        <f t="shared" si="16"/>
        <v>0</v>
      </c>
      <c r="K37" s="69">
        <f t="shared" si="16"/>
        <v>0</v>
      </c>
      <c r="L37" s="69">
        <f t="shared" si="16"/>
        <v>0</v>
      </c>
      <c r="M37" s="69">
        <f t="shared" si="16"/>
        <v>0</v>
      </c>
      <c r="N37" s="69">
        <f t="shared" si="16"/>
        <v>0</v>
      </c>
      <c r="O37" s="69">
        <f t="shared" si="16"/>
        <v>0</v>
      </c>
      <c r="P37" s="119"/>
      <c r="Q37" s="119"/>
      <c r="R37" s="119"/>
      <c r="S37" s="119"/>
      <c r="T37" s="131"/>
    </row>
    <row r="38" spans="1:20">
      <c r="A38" s="65">
        <f>A37+1</f>
        <v>22</v>
      </c>
      <c r="B38" s="36" t="s">
        <v>25</v>
      </c>
      <c r="C38" s="65" t="str">
        <f>"("&amp;A33&amp;") - ("&amp;A34&amp;") -("&amp;A37&amp;")"</f>
        <v>(17) - (18) -(21)</v>
      </c>
      <c r="D38" s="69">
        <f>D33-D34-D37</f>
        <v>12759874.023027055</v>
      </c>
      <c r="E38" s="69">
        <f t="shared" ref="E38:O38" si="17">E33-E34-E37</f>
        <v>12997697.461118385</v>
      </c>
      <c r="F38" s="69">
        <f t="shared" si="17"/>
        <v>12437632.638620922</v>
      </c>
      <c r="G38" s="69">
        <f t="shared" si="17"/>
        <v>0</v>
      </c>
      <c r="H38" s="69">
        <f t="shared" si="17"/>
        <v>0</v>
      </c>
      <c r="I38" s="69">
        <f t="shared" si="17"/>
        <v>0</v>
      </c>
      <c r="J38" s="69">
        <f t="shared" si="17"/>
        <v>0</v>
      </c>
      <c r="K38" s="69">
        <f t="shared" si="17"/>
        <v>0</v>
      </c>
      <c r="L38" s="69">
        <f t="shared" si="17"/>
        <v>0</v>
      </c>
      <c r="M38" s="69">
        <f t="shared" si="17"/>
        <v>0</v>
      </c>
      <c r="N38" s="69">
        <f t="shared" si="17"/>
        <v>0</v>
      </c>
      <c r="O38" s="69">
        <f t="shared" si="17"/>
        <v>0</v>
      </c>
      <c r="P38" s="119">
        <f>SUM(D38:F38)</f>
        <v>38195204.122766361</v>
      </c>
      <c r="Q38" s="119">
        <f>SUM(G38:I38)</f>
        <v>0</v>
      </c>
      <c r="R38" s="119">
        <f>SUM(J38:L38)</f>
        <v>0</v>
      </c>
      <c r="S38" s="119">
        <f>SUM(M38:O38)</f>
        <v>0</v>
      </c>
      <c r="T38" s="131">
        <f>SUM(D38:O38)</f>
        <v>38195204.122766361</v>
      </c>
    </row>
    <row r="39" spans="1:20">
      <c r="A39" s="65"/>
      <c r="B39" s="65" t="s">
        <v>34</v>
      </c>
      <c r="C39" s="65"/>
      <c r="D39" s="33">
        <f t="shared" ref="D39:O39" si="18">D38/D29</f>
        <v>346.08679440795942</v>
      </c>
      <c r="E39" s="33">
        <f t="shared" si="18"/>
        <v>356.62891568672518</v>
      </c>
      <c r="F39" s="33">
        <f t="shared" si="18"/>
        <v>340.26297810360086</v>
      </c>
      <c r="G39" s="33" t="e">
        <f t="shared" si="18"/>
        <v>#DIV/0!</v>
      </c>
      <c r="H39" s="33" t="e">
        <f t="shared" si="18"/>
        <v>#DIV/0!</v>
      </c>
      <c r="I39" s="33" t="e">
        <f t="shared" si="18"/>
        <v>#DIV/0!</v>
      </c>
      <c r="J39" s="33" t="e">
        <f t="shared" si="18"/>
        <v>#DIV/0!</v>
      </c>
      <c r="K39" s="33" t="e">
        <f t="shared" si="18"/>
        <v>#DIV/0!</v>
      </c>
      <c r="L39" s="33" t="e">
        <f t="shared" si="18"/>
        <v>#DIV/0!</v>
      </c>
      <c r="M39" s="33" t="e">
        <f t="shared" si="18"/>
        <v>#DIV/0!</v>
      </c>
      <c r="N39" s="33" t="e">
        <f t="shared" si="18"/>
        <v>#DIV/0!</v>
      </c>
      <c r="O39" s="33" t="e">
        <f t="shared" si="18"/>
        <v>#DIV/0!</v>
      </c>
      <c r="P39" s="135">
        <f>P38/P29</f>
        <v>347.64630395352935</v>
      </c>
      <c r="Q39" s="135" t="e">
        <f>Q38/Q29</f>
        <v>#DIV/0!</v>
      </c>
      <c r="R39" s="135" t="e">
        <f>R38/R29</f>
        <v>#DIV/0!</v>
      </c>
      <c r="S39" s="135" t="e">
        <f>S38/S29</f>
        <v>#DIV/0!</v>
      </c>
      <c r="T39" s="135">
        <f>T38/T29</f>
        <v>347.64630395352935</v>
      </c>
    </row>
    <row r="40" spans="1:20">
      <c r="A40" s="65">
        <v>23</v>
      </c>
      <c r="B40" s="36" t="s">
        <v>27</v>
      </c>
      <c r="C40" s="65" t="str">
        <f>"("&amp;A$31&amp;") - ("&amp;A38&amp;")"</f>
        <v>(16) - (22)</v>
      </c>
      <c r="D40" s="119">
        <f t="shared" ref="D40:O40" si="19">D31-D38</f>
        <v>605563.83556175977</v>
      </c>
      <c r="E40" s="119">
        <f t="shared" si="19"/>
        <v>437987.24819764495</v>
      </c>
      <c r="F40" s="119">
        <f t="shared" si="19"/>
        <v>186341.89981442317</v>
      </c>
      <c r="G40" s="119">
        <f t="shared" si="19"/>
        <v>0</v>
      </c>
      <c r="H40" s="119">
        <f t="shared" si="19"/>
        <v>0</v>
      </c>
      <c r="I40" s="119">
        <f t="shared" si="19"/>
        <v>0</v>
      </c>
      <c r="J40" s="119">
        <f t="shared" si="19"/>
        <v>0</v>
      </c>
      <c r="K40" s="119">
        <f t="shared" si="19"/>
        <v>0</v>
      </c>
      <c r="L40" s="119">
        <f t="shared" si="19"/>
        <v>0</v>
      </c>
      <c r="M40" s="119">
        <f t="shared" si="19"/>
        <v>0</v>
      </c>
      <c r="N40" s="119">
        <f t="shared" si="19"/>
        <v>0</v>
      </c>
      <c r="O40" s="119">
        <f t="shared" si="19"/>
        <v>0</v>
      </c>
      <c r="P40" s="119">
        <f>SUM(D40:F40)</f>
        <v>1229892.9835738279</v>
      </c>
      <c r="Q40" s="119">
        <f>SUM(G40:I40)</f>
        <v>0</v>
      </c>
      <c r="R40" s="119">
        <f>SUM(J40:L40)</f>
        <v>0</v>
      </c>
      <c r="S40" s="119">
        <f>SUM(M40:O40)</f>
        <v>0</v>
      </c>
      <c r="T40" s="131">
        <f>SUM(D40:O40)</f>
        <v>1229892.9835738279</v>
      </c>
    </row>
    <row r="41" spans="1:20">
      <c r="A41" s="65">
        <v>24</v>
      </c>
      <c r="B41" s="36" t="s">
        <v>28</v>
      </c>
      <c r="C41" s="16" t="s">
        <v>29</v>
      </c>
      <c r="D41" s="119">
        <f>D40*-0.04588</f>
        <v>-27783.268775573535</v>
      </c>
      <c r="E41" s="119">
        <f>E40*-0.04588</f>
        <v>-20094.854947307947</v>
      </c>
      <c r="F41" s="119">
        <f t="shared" ref="F41:O41" si="20">F40*-0.04588</f>
        <v>-8549.3663634857348</v>
      </c>
      <c r="G41" s="119">
        <f t="shared" si="20"/>
        <v>0</v>
      </c>
      <c r="H41" s="119">
        <f t="shared" si="20"/>
        <v>0</v>
      </c>
      <c r="I41" s="119">
        <f t="shared" si="20"/>
        <v>0</v>
      </c>
      <c r="J41" s="119">
        <f t="shared" si="20"/>
        <v>0</v>
      </c>
      <c r="K41" s="119">
        <f t="shared" si="20"/>
        <v>0</v>
      </c>
      <c r="L41" s="119">
        <f t="shared" si="20"/>
        <v>0</v>
      </c>
      <c r="M41" s="119">
        <f t="shared" si="20"/>
        <v>0</v>
      </c>
      <c r="N41" s="119">
        <f t="shared" si="20"/>
        <v>0</v>
      </c>
      <c r="O41" s="119">
        <f t="shared" si="20"/>
        <v>0</v>
      </c>
      <c r="P41" s="119">
        <f>SUM(D41:F41)</f>
        <v>-56427.490086367223</v>
      </c>
      <c r="Q41" s="119">
        <f>SUM(G41:I41)</f>
        <v>0</v>
      </c>
      <c r="R41" s="119">
        <f>SUM(J41:L41)</f>
        <v>0</v>
      </c>
      <c r="S41" s="119">
        <f>SUM(M41:O41)</f>
        <v>0</v>
      </c>
      <c r="T41" s="131">
        <f>SUM(D41:O41)</f>
        <v>-56427.490086367223</v>
      </c>
    </row>
    <row r="42" spans="1:20">
      <c r="A42" s="65"/>
      <c r="B42" s="36"/>
      <c r="C42" s="65" t="s">
        <v>30</v>
      </c>
      <c r="D42" s="120">
        <f t="shared" ref="D42:O42" si="21">D22</f>
        <v>4.2500000000000003E-2</v>
      </c>
      <c r="E42" s="120">
        <f t="shared" si="21"/>
        <v>4.2500000000000003E-2</v>
      </c>
      <c r="F42" s="120">
        <f t="shared" si="21"/>
        <v>4.2500000000000003E-2</v>
      </c>
      <c r="G42" s="120">
        <f t="shared" si="21"/>
        <v>0</v>
      </c>
      <c r="H42" s="120">
        <f t="shared" si="21"/>
        <v>0</v>
      </c>
      <c r="I42" s="120">
        <f t="shared" si="21"/>
        <v>0</v>
      </c>
      <c r="J42" s="120">
        <f t="shared" si="21"/>
        <v>0</v>
      </c>
      <c r="K42" s="120">
        <f t="shared" si="21"/>
        <v>0</v>
      </c>
      <c r="L42" s="120">
        <f t="shared" si="21"/>
        <v>0</v>
      </c>
      <c r="M42" s="120">
        <f t="shared" si="21"/>
        <v>0</v>
      </c>
      <c r="N42" s="120">
        <f t="shared" si="21"/>
        <v>0</v>
      </c>
      <c r="O42" s="120">
        <f t="shared" si="21"/>
        <v>0</v>
      </c>
      <c r="P42" s="120"/>
      <c r="Q42" s="120"/>
      <c r="R42" s="120"/>
      <c r="S42" s="120"/>
      <c r="T42" s="131"/>
    </row>
    <row r="43" spans="1:20" ht="14.45" customHeight="1">
      <c r="A43" s="65">
        <v>25</v>
      </c>
      <c r="B43" s="36" t="s">
        <v>31</v>
      </c>
      <c r="C43" s="65" t="s">
        <v>35</v>
      </c>
      <c r="D43" s="9">
        <f>(D40+D41)/2*D42/12</f>
        <v>1023.1530870172047</v>
      </c>
      <c r="E43" s="9">
        <f t="shared" ref="E43:O43" si="22">(D45+(E40+E41)/2)*E42/12</f>
        <v>2789.947620931734</v>
      </c>
      <c r="F43" s="9">
        <f t="shared" si="22"/>
        <v>3854.6874097893747</v>
      </c>
      <c r="G43" s="9">
        <f t="shared" si="22"/>
        <v>0</v>
      </c>
      <c r="H43" s="9">
        <f t="shared" si="22"/>
        <v>0</v>
      </c>
      <c r="I43" s="9">
        <f t="shared" si="22"/>
        <v>0</v>
      </c>
      <c r="J43" s="9">
        <f t="shared" si="22"/>
        <v>0</v>
      </c>
      <c r="K43" s="9">
        <f t="shared" si="22"/>
        <v>0</v>
      </c>
      <c r="L43" s="9">
        <f t="shared" si="22"/>
        <v>0</v>
      </c>
      <c r="M43" s="9">
        <f t="shared" si="22"/>
        <v>0</v>
      </c>
      <c r="N43" s="9">
        <f t="shared" si="22"/>
        <v>0</v>
      </c>
      <c r="O43" s="9">
        <f t="shared" si="22"/>
        <v>0</v>
      </c>
      <c r="P43" s="119">
        <f>SUM(D43:F43)</f>
        <v>7667.7881177383133</v>
      </c>
      <c r="Q43" s="119">
        <f>SUM(G43:I43)</f>
        <v>0</v>
      </c>
      <c r="R43" s="119">
        <f>SUM(J43:L43)</f>
        <v>0</v>
      </c>
      <c r="S43" s="119">
        <f>SUM(M43:O43)</f>
        <v>0</v>
      </c>
      <c r="T43" s="131">
        <f>SUM(D43:O43)</f>
        <v>7667.7881177383133</v>
      </c>
    </row>
    <row r="44" spans="1:20" ht="15.75" thickBot="1">
      <c r="A44" s="65"/>
      <c r="B44" s="10" t="s">
        <v>36</v>
      </c>
      <c r="C44" s="65"/>
      <c r="D44" s="12">
        <f>D40+D41+D43</f>
        <v>578803.71987320343</v>
      </c>
      <c r="E44" s="12">
        <f t="shared" ref="E44:T44" si="23">E40+E41+E43</f>
        <v>420682.34087126871</v>
      </c>
      <c r="F44" s="12">
        <f t="shared" si="23"/>
        <v>181647.22086072684</v>
      </c>
      <c r="G44" s="12">
        <f t="shared" si="23"/>
        <v>0</v>
      </c>
      <c r="H44" s="12">
        <f t="shared" si="23"/>
        <v>0</v>
      </c>
      <c r="I44" s="12">
        <f t="shared" si="23"/>
        <v>0</v>
      </c>
      <c r="J44" s="12">
        <f t="shared" si="23"/>
        <v>0</v>
      </c>
      <c r="K44" s="12">
        <f t="shared" si="23"/>
        <v>0</v>
      </c>
      <c r="L44" s="12">
        <f t="shared" si="23"/>
        <v>0</v>
      </c>
      <c r="M44" s="12">
        <f t="shared" si="23"/>
        <v>0</v>
      </c>
      <c r="N44" s="12">
        <f t="shared" si="23"/>
        <v>0</v>
      </c>
      <c r="O44" s="12">
        <f t="shared" si="23"/>
        <v>0</v>
      </c>
      <c r="P44" s="136">
        <f t="shared" si="23"/>
        <v>1181133.281605199</v>
      </c>
      <c r="Q44" s="136">
        <f t="shared" si="23"/>
        <v>0</v>
      </c>
      <c r="R44" s="136">
        <f t="shared" si="23"/>
        <v>0</v>
      </c>
      <c r="S44" s="136">
        <f t="shared" si="23"/>
        <v>0</v>
      </c>
      <c r="T44" s="136">
        <f t="shared" si="23"/>
        <v>1181133.281605199</v>
      </c>
    </row>
    <row r="45" spans="1:20" ht="27" thickBot="1">
      <c r="A45" s="65">
        <v>26</v>
      </c>
      <c r="B45" s="139" t="s">
        <v>102</v>
      </c>
      <c r="C45" s="65" t="str">
        <f>"Σ(("&amp;A$40&amp;") ~ ("&amp;A43&amp;"))"</f>
        <v>Σ((23) ~ (25))</v>
      </c>
      <c r="D45" s="69">
        <f>D40+D41+D43</f>
        <v>578803.71987320343</v>
      </c>
      <c r="E45" s="69">
        <f t="shared" ref="E45:O45" si="24">D45+E40+E41+E43</f>
        <v>999486.0607444722</v>
      </c>
      <c r="F45" s="69">
        <f t="shared" si="24"/>
        <v>1181133.281605199</v>
      </c>
      <c r="G45" s="69">
        <f t="shared" si="24"/>
        <v>1181133.281605199</v>
      </c>
      <c r="H45" s="69">
        <f t="shared" si="24"/>
        <v>1181133.281605199</v>
      </c>
      <c r="I45" s="69">
        <f t="shared" si="24"/>
        <v>1181133.281605199</v>
      </c>
      <c r="J45" s="69">
        <f t="shared" si="24"/>
        <v>1181133.281605199</v>
      </c>
      <c r="K45" s="69">
        <f t="shared" si="24"/>
        <v>1181133.281605199</v>
      </c>
      <c r="L45" s="69">
        <f t="shared" si="24"/>
        <v>1181133.281605199</v>
      </c>
      <c r="M45" s="69">
        <f t="shared" si="24"/>
        <v>1181133.281605199</v>
      </c>
      <c r="N45" s="69">
        <f t="shared" si="24"/>
        <v>1181133.281605199</v>
      </c>
      <c r="O45" s="121">
        <f t="shared" si="24"/>
        <v>1181133.281605199</v>
      </c>
      <c r="P45" s="119"/>
      <c r="Q45" s="119"/>
      <c r="R45" s="119"/>
      <c r="S45" s="119"/>
      <c r="T45" s="131"/>
    </row>
    <row r="46" spans="1:20" ht="14.45" hidden="1" customHeight="1">
      <c r="A46" s="65"/>
      <c r="B46" s="151"/>
      <c r="C46" s="65"/>
      <c r="D46" s="69"/>
      <c r="E46" s="69"/>
      <c r="F46" s="69"/>
      <c r="G46" s="69"/>
      <c r="H46" s="69"/>
      <c r="I46" s="69"/>
      <c r="J46" s="69"/>
      <c r="K46" s="69"/>
      <c r="L46" s="69"/>
      <c r="M46" s="69"/>
      <c r="N46" s="69"/>
      <c r="O46" s="30"/>
      <c r="P46" s="136">
        <f>P42+P43+P45</f>
        <v>7667.7881177383133</v>
      </c>
      <c r="Q46" s="136">
        <f>Q42+Q43+Q45</f>
        <v>0</v>
      </c>
      <c r="R46" s="136">
        <f>R42+R43+R45</f>
        <v>0</v>
      </c>
      <c r="S46" s="136">
        <f>S42+S43+S45</f>
        <v>0</v>
      </c>
      <c r="T46" s="136">
        <f>T42+T43+T45</f>
        <v>7667.7881177383133</v>
      </c>
    </row>
    <row r="47" spans="1:20" ht="29.45" customHeight="1" thickBot="1">
      <c r="A47" s="2">
        <v>27</v>
      </c>
      <c r="B47" s="122" t="s">
        <v>103</v>
      </c>
      <c r="C47" s="2" t="str">
        <f>"("&amp;A$25&amp;") + ("&amp;A45&amp;")"</f>
        <v>(13) + (26)</v>
      </c>
      <c r="D47" s="15">
        <f t="shared" ref="D47:O47" si="25">D25+D45</f>
        <v>919981.57246509334</v>
      </c>
      <c r="E47" s="15">
        <f t="shared" si="25"/>
        <v>3078897.4518047976</v>
      </c>
      <c r="F47" s="15">
        <f t="shared" si="25"/>
        <v>3905763.8945370978</v>
      </c>
      <c r="G47" s="15">
        <f t="shared" si="25"/>
        <v>3905763.8945370978</v>
      </c>
      <c r="H47" s="15">
        <f t="shared" si="25"/>
        <v>3905763.8945370978</v>
      </c>
      <c r="I47" s="15">
        <f t="shared" si="25"/>
        <v>3905763.8945370978</v>
      </c>
      <c r="J47" s="15">
        <f t="shared" si="25"/>
        <v>3905763.8945370978</v>
      </c>
      <c r="K47" s="15">
        <f t="shared" si="25"/>
        <v>3905763.8945370978</v>
      </c>
      <c r="L47" s="15">
        <f t="shared" si="25"/>
        <v>3905763.8945370978</v>
      </c>
      <c r="M47" s="15">
        <f t="shared" si="25"/>
        <v>3905763.8945370978</v>
      </c>
      <c r="N47" s="15">
        <f t="shared" si="25"/>
        <v>3905763.8945370978</v>
      </c>
      <c r="O47" s="123">
        <f t="shared" si="25"/>
        <v>3905763.8945370978</v>
      </c>
      <c r="P47" s="138"/>
      <c r="Q47" s="138"/>
      <c r="R47" s="138"/>
      <c r="S47" s="138"/>
      <c r="T47" s="17"/>
    </row>
  </sheetData>
  <printOptions horizontalCentered="1"/>
  <pageMargins left="0.7" right="0.71" top="1.0900000000000001" bottom="0.75" header="0.5" footer="0.5"/>
  <pageSetup scale="61" orientation="landscape" r:id="rId1"/>
  <headerFooter scaleWithDoc="0">
    <oddHeader>&amp;CAvista Corporation Decoupling Mechanism
Washington Jurisdiction
Quarterly Report for 1st Quarter 2018</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6"/>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A25" zoomScaleNormal="100" workbookViewId="0">
      <selection activeCell="V10" sqref="V10"/>
    </sheetView>
  </sheetViews>
  <sheetFormatPr defaultRowHeight="15"/>
  <cols>
    <col min="1" max="1" width="7.28515625" customWidth="1"/>
    <col min="2" max="2" width="35" customWidth="1"/>
    <col min="3" max="3" width="18.7109375" customWidth="1"/>
    <col min="4" max="4" width="13.28515625" customWidth="1"/>
    <col min="5" max="5" width="12.140625" customWidth="1"/>
    <col min="6" max="6" width="12.42578125"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hidden="1" customWidth="1"/>
    <col min="14" max="14" width="11.5703125" hidden="1" customWidth="1"/>
    <col min="15" max="15" width="12.28515625" hidden="1" customWidth="1"/>
    <col min="16" max="16" width="12.7109375" style="64" customWidth="1"/>
    <col min="17" max="17" width="12.85546875" style="26" hidden="1" customWidth="1"/>
    <col min="18" max="18" width="12.28515625" style="64" hidden="1" customWidth="1"/>
    <col min="19" max="19" width="12.28515625" style="74" hidden="1" customWidth="1"/>
    <col min="20" max="20" width="12.42578125" customWidth="1"/>
  </cols>
  <sheetData>
    <row r="1" spans="1:20" ht="15.75">
      <c r="A1" s="140" t="s">
        <v>0</v>
      </c>
      <c r="B1" s="140"/>
      <c r="C1" s="140"/>
      <c r="D1" s="140"/>
      <c r="E1" s="140"/>
      <c r="F1" s="140"/>
      <c r="G1" s="140"/>
      <c r="H1" s="140"/>
      <c r="I1" s="140"/>
      <c r="J1" s="140"/>
      <c r="K1" s="140"/>
      <c r="L1" s="140"/>
      <c r="M1" s="140"/>
      <c r="N1" s="140"/>
      <c r="O1" s="140"/>
      <c r="P1" s="140"/>
      <c r="Q1" s="140"/>
      <c r="R1" s="140"/>
      <c r="S1" s="140"/>
      <c r="T1" s="140"/>
    </row>
    <row r="2" spans="1:20" ht="18.75">
      <c r="A2" s="140" t="s">
        <v>97</v>
      </c>
      <c r="B2" s="140"/>
      <c r="C2" s="140"/>
      <c r="D2" s="140"/>
      <c r="E2" s="140"/>
      <c r="F2" s="140"/>
      <c r="G2" s="140"/>
      <c r="H2" s="140"/>
      <c r="I2" s="140"/>
      <c r="J2" s="140"/>
      <c r="K2" s="140"/>
      <c r="L2" s="140"/>
      <c r="M2" s="140"/>
      <c r="N2" s="140"/>
      <c r="O2" s="140"/>
      <c r="P2" s="142"/>
      <c r="Q2" s="142"/>
      <c r="R2" s="142"/>
      <c r="S2" s="142"/>
      <c r="T2" s="142"/>
    </row>
    <row r="3" spans="1:20" ht="15.75">
      <c r="A3" s="141" t="s">
        <v>162</v>
      </c>
      <c r="B3" s="140"/>
      <c r="C3" s="140"/>
      <c r="D3" s="140"/>
      <c r="E3" s="140"/>
      <c r="F3" s="140"/>
      <c r="G3" s="140"/>
      <c r="H3" s="140"/>
      <c r="I3" s="140"/>
      <c r="J3" s="140"/>
      <c r="K3" s="140"/>
      <c r="L3" s="140"/>
      <c r="M3" s="140"/>
      <c r="N3" s="140"/>
      <c r="O3" s="140"/>
      <c r="P3" s="141"/>
      <c r="Q3" s="141"/>
      <c r="R3" s="141"/>
      <c r="S3" s="141"/>
      <c r="T3" s="141"/>
    </row>
    <row r="4" spans="1:20" ht="6" customHeight="1">
      <c r="A4" s="14"/>
      <c r="B4" s="13"/>
      <c r="C4" s="13"/>
      <c r="D4" s="13"/>
      <c r="E4" s="13"/>
      <c r="F4" s="13"/>
      <c r="G4" s="13"/>
      <c r="H4" s="13"/>
      <c r="I4" s="13"/>
      <c r="J4" s="13"/>
      <c r="K4" s="13"/>
      <c r="L4" s="13"/>
      <c r="M4" s="13"/>
      <c r="N4" s="13"/>
      <c r="O4" s="13"/>
      <c r="P4" s="73"/>
      <c r="Q4" s="62"/>
      <c r="R4" s="73"/>
      <c r="S4" s="79"/>
      <c r="T4" s="1"/>
    </row>
    <row r="5" spans="1:20" ht="26.25">
      <c r="A5" s="36"/>
      <c r="B5" s="36"/>
      <c r="C5" s="36"/>
      <c r="D5" s="65"/>
      <c r="E5" s="10"/>
      <c r="F5" s="10"/>
      <c r="G5" s="10"/>
      <c r="H5" s="10"/>
      <c r="I5" s="10"/>
      <c r="J5" s="10"/>
      <c r="K5" s="10"/>
      <c r="L5" s="10"/>
      <c r="M5" s="10"/>
      <c r="N5" s="10"/>
      <c r="O5" s="10"/>
      <c r="P5" s="63" t="s">
        <v>157</v>
      </c>
      <c r="Q5" s="63" t="s">
        <v>158</v>
      </c>
      <c r="R5" s="63" t="s">
        <v>159</v>
      </c>
      <c r="S5" s="63" t="s">
        <v>160</v>
      </c>
      <c r="T5" s="61" t="s">
        <v>161</v>
      </c>
    </row>
    <row r="6" spans="1:20" ht="25.5">
      <c r="A6" s="109" t="s">
        <v>1</v>
      </c>
      <c r="B6" s="110"/>
      <c r="C6" s="105" t="s">
        <v>2</v>
      </c>
      <c r="D6" s="143">
        <v>43101</v>
      </c>
      <c r="E6" s="111">
        <f t="shared" ref="E6:O6" si="0">EDATE(D6,1)</f>
        <v>43132</v>
      </c>
      <c r="F6" s="111">
        <f t="shared" si="0"/>
        <v>43160</v>
      </c>
      <c r="G6" s="111">
        <f t="shared" si="0"/>
        <v>43191</v>
      </c>
      <c r="H6" s="111">
        <f t="shared" si="0"/>
        <v>43221</v>
      </c>
      <c r="I6" s="111">
        <f t="shared" si="0"/>
        <v>43252</v>
      </c>
      <c r="J6" s="111">
        <f t="shared" si="0"/>
        <v>43282</v>
      </c>
      <c r="K6" s="111">
        <f t="shared" si="0"/>
        <v>43313</v>
      </c>
      <c r="L6" s="111">
        <f t="shared" si="0"/>
        <v>43344</v>
      </c>
      <c r="M6" s="111">
        <f t="shared" si="0"/>
        <v>43374</v>
      </c>
      <c r="N6" s="111">
        <f t="shared" si="0"/>
        <v>43405</v>
      </c>
      <c r="O6" s="111">
        <f t="shared" si="0"/>
        <v>43435</v>
      </c>
      <c r="P6" s="111" t="s">
        <v>3</v>
      </c>
      <c r="Q6" s="25" t="s">
        <v>3</v>
      </c>
      <c r="R6" s="25" t="s">
        <v>3</v>
      </c>
      <c r="S6" s="25" t="s">
        <v>3</v>
      </c>
      <c r="T6" s="3"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65" t="s">
        <v>18</v>
      </c>
      <c r="Q7" s="27"/>
      <c r="R7" s="65"/>
      <c r="S7" s="65"/>
      <c r="T7" s="4" t="s">
        <v>18</v>
      </c>
    </row>
    <row r="8" spans="1:20">
      <c r="A8" s="65"/>
      <c r="B8" s="2" t="s">
        <v>19</v>
      </c>
      <c r="C8" s="65"/>
      <c r="D8" s="65"/>
      <c r="E8" s="65"/>
      <c r="F8" s="65"/>
      <c r="G8" s="65"/>
      <c r="H8" s="65"/>
      <c r="I8" s="65"/>
      <c r="J8" s="65"/>
      <c r="K8" s="65"/>
      <c r="L8" s="65"/>
      <c r="M8" s="65"/>
      <c r="N8" s="65"/>
      <c r="O8" s="65"/>
      <c r="P8" s="69"/>
      <c r="Q8" s="29"/>
      <c r="R8" s="69"/>
      <c r="S8" s="69"/>
      <c r="T8" s="5"/>
    </row>
    <row r="9" spans="1:20">
      <c r="A9" s="65">
        <v>1</v>
      </c>
      <c r="B9" s="36" t="s">
        <v>20</v>
      </c>
      <c r="C9" s="65" t="s">
        <v>21</v>
      </c>
      <c r="D9" s="144">
        <v>160611</v>
      </c>
      <c r="E9" s="144">
        <v>160378</v>
      </c>
      <c r="F9" s="144">
        <v>161228</v>
      </c>
      <c r="G9" s="144"/>
      <c r="H9" s="144"/>
      <c r="I9" s="144"/>
      <c r="J9" s="144"/>
      <c r="K9" s="144"/>
      <c r="L9" s="144"/>
      <c r="M9" s="144"/>
      <c r="N9" s="144"/>
      <c r="O9" s="144"/>
      <c r="P9" s="68">
        <f>SUM(D9:F9)</f>
        <v>482217</v>
      </c>
      <c r="Q9" s="68">
        <f>SUM(G9:I9)</f>
        <v>0</v>
      </c>
      <c r="R9" s="68">
        <f>SUM(J9:L9)</f>
        <v>0</v>
      </c>
      <c r="S9" s="68">
        <f>SUM(M9:O9)</f>
        <v>0</v>
      </c>
      <c r="T9" s="68">
        <f>SUM(D9:O9)</f>
        <v>482217</v>
      </c>
    </row>
    <row r="10" spans="1:20" s="74" customFormat="1">
      <c r="A10" s="145">
        <f>A9+1</f>
        <v>2</v>
      </c>
      <c r="B10" s="112" t="s">
        <v>22</v>
      </c>
      <c r="C10" s="116" t="s">
        <v>98</v>
      </c>
      <c r="D10" s="146">
        <v>61.486922879017001</v>
      </c>
      <c r="E10" s="146">
        <v>50.866570431256761</v>
      </c>
      <c r="F10" s="146">
        <v>41.030399057560587</v>
      </c>
      <c r="G10" s="146">
        <v>22.870205136351437</v>
      </c>
      <c r="H10" s="146">
        <v>14.23092748790198</v>
      </c>
      <c r="I10" s="146">
        <v>8.7158034693822444</v>
      </c>
      <c r="J10" s="146">
        <v>6.0908076255147918</v>
      </c>
      <c r="K10" s="146">
        <v>5.9532658136335108</v>
      </c>
      <c r="L10" s="146">
        <v>7.9296716744335587</v>
      </c>
      <c r="M10" s="146">
        <v>25.196066218038329</v>
      </c>
      <c r="N10" s="146">
        <v>43.401260450086617</v>
      </c>
      <c r="O10" s="146">
        <v>63.188099756823149</v>
      </c>
      <c r="P10" s="150">
        <f>P11/P9</f>
        <v>51.115170519492828</v>
      </c>
      <c r="Q10" s="150" t="e">
        <f>Q11/Q9</f>
        <v>#DIV/0!</v>
      </c>
      <c r="R10" s="150" t="e">
        <f>R11/R9</f>
        <v>#DIV/0!</v>
      </c>
      <c r="S10" s="150" t="e">
        <f>S11/S9</f>
        <v>#DIV/0!</v>
      </c>
      <c r="T10" s="150">
        <f>T11/T9</f>
        <v>51.115170519492828</v>
      </c>
    </row>
    <row r="11" spans="1:20">
      <c r="A11" s="65">
        <f>A10+1</f>
        <v>3</v>
      </c>
      <c r="B11" s="36" t="s">
        <v>23</v>
      </c>
      <c r="C11" s="65" t="str">
        <f>"("&amp;A9&amp;") x ("&amp;A10&amp;")"</f>
        <v>(1) x (2)</v>
      </c>
      <c r="D11" s="69">
        <f t="shared" ref="D11:O11" si="1">D9*D10</f>
        <v>9875476.1705217995</v>
      </c>
      <c r="E11" s="69">
        <f t="shared" si="1"/>
        <v>8157878.8326240964</v>
      </c>
      <c r="F11" s="69">
        <f t="shared" si="1"/>
        <v>6615249.1792523786</v>
      </c>
      <c r="G11" s="69">
        <f t="shared" si="1"/>
        <v>0</v>
      </c>
      <c r="H11" s="69">
        <f t="shared" si="1"/>
        <v>0</v>
      </c>
      <c r="I11" s="69">
        <f t="shared" si="1"/>
        <v>0</v>
      </c>
      <c r="J11" s="69">
        <f t="shared" si="1"/>
        <v>0</v>
      </c>
      <c r="K11" s="69">
        <f t="shared" si="1"/>
        <v>0</v>
      </c>
      <c r="L11" s="69">
        <f t="shared" si="1"/>
        <v>0</v>
      </c>
      <c r="M11" s="69">
        <f t="shared" si="1"/>
        <v>0</v>
      </c>
      <c r="N11" s="69">
        <f t="shared" si="1"/>
        <v>0</v>
      </c>
      <c r="O11" s="69">
        <f t="shared" si="1"/>
        <v>0</v>
      </c>
      <c r="P11" s="69">
        <f>SUM(D11:F11)</f>
        <v>24648604.182398275</v>
      </c>
      <c r="Q11" s="69">
        <f>SUM(G11:I11)</f>
        <v>0</v>
      </c>
      <c r="R11" s="69">
        <f>SUM(J11:L11)</f>
        <v>0</v>
      </c>
      <c r="S11" s="69">
        <f>SUM(M11:O11)</f>
        <v>0</v>
      </c>
      <c r="T11" s="69">
        <f>SUM(D11:O11)</f>
        <v>24648604.182398275</v>
      </c>
    </row>
    <row r="12" spans="1:20">
      <c r="A12" s="65"/>
      <c r="B12" s="36"/>
      <c r="C12" s="65"/>
      <c r="D12" s="69"/>
      <c r="E12" s="69"/>
      <c r="F12" s="69"/>
      <c r="G12" s="69"/>
      <c r="H12" s="69"/>
      <c r="I12" s="69"/>
      <c r="J12" s="69"/>
      <c r="K12" s="69"/>
      <c r="L12" s="69"/>
      <c r="M12" s="69"/>
      <c r="N12" s="69"/>
      <c r="O12" s="69"/>
      <c r="P12" s="66"/>
      <c r="Q12" s="66"/>
      <c r="R12" s="66"/>
      <c r="S12" s="66"/>
      <c r="T12" s="66"/>
    </row>
    <row r="13" spans="1:20">
      <c r="A13" s="65"/>
      <c r="B13" s="36" t="s">
        <v>99</v>
      </c>
      <c r="C13" s="65" t="s">
        <v>21</v>
      </c>
      <c r="D13" s="144">
        <v>20280264.403999999</v>
      </c>
      <c r="E13" s="144">
        <v>18200880.844430003</v>
      </c>
      <c r="F13" s="144">
        <v>15790511.955780001</v>
      </c>
      <c r="G13" s="144"/>
      <c r="H13" s="144"/>
      <c r="I13" s="144"/>
      <c r="J13" s="144"/>
      <c r="K13" s="144"/>
      <c r="L13" s="144"/>
      <c r="M13" s="144"/>
      <c r="N13" s="144"/>
      <c r="O13" s="144"/>
      <c r="P13" s="66"/>
      <c r="Q13" s="66"/>
      <c r="R13" s="66"/>
      <c r="S13" s="66"/>
      <c r="T13" s="66"/>
    </row>
    <row r="14" spans="1:20" ht="26.25">
      <c r="A14" s="65">
        <v>4</v>
      </c>
      <c r="B14" s="147" t="s">
        <v>100</v>
      </c>
      <c r="C14" s="65" t="s">
        <v>21</v>
      </c>
      <c r="D14" s="148">
        <v>10769500.120059978</v>
      </c>
      <c r="E14" s="148">
        <v>9319636.697800003</v>
      </c>
      <c r="F14" s="148">
        <v>8889891.7445299979</v>
      </c>
      <c r="G14" s="148"/>
      <c r="H14" s="148"/>
      <c r="I14" s="148"/>
      <c r="J14" s="148"/>
      <c r="K14" s="148"/>
      <c r="L14" s="148"/>
      <c r="M14" s="148"/>
      <c r="N14" s="148"/>
      <c r="O14" s="148"/>
      <c r="P14" s="38"/>
      <c r="Q14" s="38"/>
      <c r="R14" s="38"/>
      <c r="S14" s="38"/>
      <c r="T14" s="38"/>
    </row>
    <row r="15" spans="1:20">
      <c r="A15" s="65">
        <v>5</v>
      </c>
      <c r="B15" s="36" t="s">
        <v>24</v>
      </c>
      <c r="C15" s="65" t="s">
        <v>21</v>
      </c>
      <c r="D15" s="148">
        <v>1462167</v>
      </c>
      <c r="E15" s="148">
        <v>1459962</v>
      </c>
      <c r="F15" s="148">
        <v>1470663</v>
      </c>
      <c r="G15" s="148"/>
      <c r="H15" s="148"/>
      <c r="I15" s="148"/>
      <c r="J15" s="148"/>
      <c r="K15" s="148"/>
      <c r="L15" s="148"/>
      <c r="M15" s="148"/>
      <c r="N15" s="148"/>
      <c r="O15" s="148"/>
      <c r="P15" s="38"/>
      <c r="Q15" s="38"/>
      <c r="R15" s="38"/>
      <c r="S15" s="38"/>
      <c r="T15" s="38"/>
    </row>
    <row r="16" spans="1:20">
      <c r="A16" s="65">
        <v>6</v>
      </c>
      <c r="B16" s="36" t="s">
        <v>25</v>
      </c>
      <c r="C16" s="65" t="str">
        <f>"("&amp;A14&amp;") - ("&amp;A15&amp;")"</f>
        <v>(4) - (5)</v>
      </c>
      <c r="D16" s="69">
        <f>D14-D15</f>
        <v>9307333.1200599782</v>
      </c>
      <c r="E16" s="69">
        <f t="shared" ref="E16:O16" si="2">E14-E15</f>
        <v>7859674.697800003</v>
      </c>
      <c r="F16" s="69">
        <f t="shared" si="2"/>
        <v>7419228.7445299979</v>
      </c>
      <c r="G16" s="69">
        <f t="shared" si="2"/>
        <v>0</v>
      </c>
      <c r="H16" s="69">
        <f t="shared" si="2"/>
        <v>0</v>
      </c>
      <c r="I16" s="69">
        <f t="shared" si="2"/>
        <v>0</v>
      </c>
      <c r="J16" s="69">
        <f t="shared" si="2"/>
        <v>0</v>
      </c>
      <c r="K16" s="69">
        <f t="shared" si="2"/>
        <v>0</v>
      </c>
      <c r="L16" s="69">
        <f t="shared" si="2"/>
        <v>0</v>
      </c>
      <c r="M16" s="69">
        <f t="shared" si="2"/>
        <v>0</v>
      </c>
      <c r="N16" s="69">
        <f t="shared" si="2"/>
        <v>0</v>
      </c>
      <c r="O16" s="69">
        <f t="shared" si="2"/>
        <v>0</v>
      </c>
      <c r="P16" s="69">
        <f>SUM(D16:F16)</f>
        <v>24586236.562389977</v>
      </c>
      <c r="Q16" s="69">
        <f>SUM(G16:I16)</f>
        <v>0</v>
      </c>
      <c r="R16" s="69">
        <f>SUM(J16:L16)</f>
        <v>0</v>
      </c>
      <c r="S16" s="69">
        <f>SUM(M16:O16)</f>
        <v>0</v>
      </c>
      <c r="T16" s="69">
        <f>SUM(D16:O16)</f>
        <v>24586236.562389977</v>
      </c>
    </row>
    <row r="17" spans="1:20">
      <c r="A17" s="65"/>
      <c r="B17" s="7" t="s">
        <v>26</v>
      </c>
      <c r="C17" s="65"/>
      <c r="D17" s="11">
        <f>D16/D9</f>
        <v>57.949537205172611</v>
      </c>
      <c r="E17" s="11">
        <f t="shared" ref="E17:O17" si="3">E16/E9</f>
        <v>49.007187381062259</v>
      </c>
      <c r="F17" s="11">
        <f t="shared" si="3"/>
        <v>46.016999184570906</v>
      </c>
      <c r="G17" s="11" t="e">
        <f t="shared" si="3"/>
        <v>#DIV/0!</v>
      </c>
      <c r="H17" s="11" t="e">
        <f t="shared" si="3"/>
        <v>#DIV/0!</v>
      </c>
      <c r="I17" s="11" t="e">
        <f t="shared" si="3"/>
        <v>#DIV/0!</v>
      </c>
      <c r="J17" s="11" t="e">
        <f t="shared" si="3"/>
        <v>#DIV/0!</v>
      </c>
      <c r="K17" s="11" t="e">
        <f t="shared" si="3"/>
        <v>#DIV/0!</v>
      </c>
      <c r="L17" s="11" t="e">
        <f t="shared" si="3"/>
        <v>#DIV/0!</v>
      </c>
      <c r="M17" s="11" t="e">
        <f t="shared" si="3"/>
        <v>#DIV/0!</v>
      </c>
      <c r="N17" s="11" t="e">
        <f t="shared" si="3"/>
        <v>#DIV/0!</v>
      </c>
      <c r="O17" s="11" t="e">
        <f t="shared" si="3"/>
        <v>#DIV/0!</v>
      </c>
      <c r="P17" s="150">
        <f>P16/P9</f>
        <v>50.985835344647697</v>
      </c>
      <c r="Q17" s="150" t="e">
        <f>Q16/Q9</f>
        <v>#DIV/0!</v>
      </c>
      <c r="R17" s="150" t="e">
        <f>R16/R9</f>
        <v>#DIV/0!</v>
      </c>
      <c r="S17" s="150" t="e">
        <f>S16/S9</f>
        <v>#DIV/0!</v>
      </c>
      <c r="T17" s="150">
        <f>T16/T9</f>
        <v>50.985835344647697</v>
      </c>
    </row>
    <row r="18" spans="1:20">
      <c r="A18" s="65">
        <v>7</v>
      </c>
      <c r="B18" s="36" t="s">
        <v>27</v>
      </c>
      <c r="C18" s="65" t="str">
        <f>"("&amp;A$11&amp;") - ("&amp;A16&amp;")"</f>
        <v>(3) - (6)</v>
      </c>
      <c r="D18" s="149">
        <f t="shared" ref="D18:O18" si="4">D11-D16</f>
        <v>568143.05046182126</v>
      </c>
      <c r="E18" s="149">
        <f t="shared" si="4"/>
        <v>298204.13482409343</v>
      </c>
      <c r="F18" s="149">
        <f t="shared" si="4"/>
        <v>-803979.56527761929</v>
      </c>
      <c r="G18" s="149">
        <f t="shared" si="4"/>
        <v>0</v>
      </c>
      <c r="H18" s="149">
        <f t="shared" si="4"/>
        <v>0</v>
      </c>
      <c r="I18" s="149">
        <f t="shared" si="4"/>
        <v>0</v>
      </c>
      <c r="J18" s="149">
        <f t="shared" si="4"/>
        <v>0</v>
      </c>
      <c r="K18" s="149">
        <f t="shared" si="4"/>
        <v>0</v>
      </c>
      <c r="L18" s="149">
        <f t="shared" si="4"/>
        <v>0</v>
      </c>
      <c r="M18" s="149">
        <f>M11-M16</f>
        <v>0</v>
      </c>
      <c r="N18" s="149">
        <f t="shared" si="4"/>
        <v>0</v>
      </c>
      <c r="O18" s="149">
        <f t="shared" si="4"/>
        <v>0</v>
      </c>
      <c r="P18" s="69">
        <f>SUM(D18:F18)</f>
        <v>62367.620008295402</v>
      </c>
      <c r="Q18" s="69">
        <f>SUM(G18:I18)</f>
        <v>0</v>
      </c>
      <c r="R18" s="69">
        <f>SUM(J18:L18)</f>
        <v>0</v>
      </c>
      <c r="S18" s="69">
        <f>SUM(M18:O18)</f>
        <v>0</v>
      </c>
      <c r="T18" s="69">
        <f>SUM(D18:O18)</f>
        <v>62367.620008295402</v>
      </c>
    </row>
    <row r="19" spans="1:20">
      <c r="A19" s="65">
        <v>8</v>
      </c>
      <c r="B19" s="36" t="s">
        <v>28</v>
      </c>
      <c r="C19" s="65" t="s">
        <v>29</v>
      </c>
      <c r="D19" s="119">
        <f>D18*-0.045668</f>
        <v>-25945.956828490453</v>
      </c>
      <c r="E19" s="119">
        <f>E18*-0.045668</f>
        <v>-13618.386429146698</v>
      </c>
      <c r="F19" s="119">
        <f t="shared" ref="F19:O19" si="5">F18*-0.045668</f>
        <v>36716.138787098316</v>
      </c>
      <c r="G19" s="119">
        <f t="shared" si="5"/>
        <v>0</v>
      </c>
      <c r="H19" s="119">
        <f t="shared" si="5"/>
        <v>0</v>
      </c>
      <c r="I19" s="119">
        <f t="shared" si="5"/>
        <v>0</v>
      </c>
      <c r="J19" s="119">
        <f t="shared" si="5"/>
        <v>0</v>
      </c>
      <c r="K19" s="119">
        <f t="shared" si="5"/>
        <v>0</v>
      </c>
      <c r="L19" s="119">
        <f t="shared" si="5"/>
        <v>0</v>
      </c>
      <c r="M19" s="119">
        <f t="shared" si="5"/>
        <v>0</v>
      </c>
      <c r="N19" s="119">
        <f t="shared" si="5"/>
        <v>0</v>
      </c>
      <c r="O19" s="119">
        <f t="shared" si="5"/>
        <v>0</v>
      </c>
      <c r="P19" s="69">
        <f>SUM(D19:F19)</f>
        <v>-2848.2044705388325</v>
      </c>
      <c r="Q19" s="69">
        <f>SUM(G19:I19)</f>
        <v>0</v>
      </c>
      <c r="R19" s="69">
        <f>SUM(J19:L19)</f>
        <v>0</v>
      </c>
      <c r="S19" s="69">
        <f>SUM(M19:O19)</f>
        <v>0</v>
      </c>
      <c r="T19" s="69">
        <f>SUM(D19:O19)</f>
        <v>-2848.2044705388325</v>
      </c>
    </row>
    <row r="20" spans="1:20" ht="14.45" customHeight="1">
      <c r="A20" s="65"/>
      <c r="B20" s="36"/>
      <c r="C20" s="8" t="s">
        <v>30</v>
      </c>
      <c r="D20" s="120">
        <v>4.2500000000000003E-2</v>
      </c>
      <c r="E20" s="120">
        <f t="shared" ref="E20:I20" si="6">D20</f>
        <v>4.2500000000000003E-2</v>
      </c>
      <c r="F20" s="120">
        <f>E20</f>
        <v>4.2500000000000003E-2</v>
      </c>
      <c r="G20" s="120">
        <v>0</v>
      </c>
      <c r="H20" s="120">
        <f t="shared" si="6"/>
        <v>0</v>
      </c>
      <c r="I20" s="120">
        <f t="shared" si="6"/>
        <v>0</v>
      </c>
      <c r="J20" s="120">
        <v>0</v>
      </c>
      <c r="K20" s="120">
        <f t="shared" ref="K20" si="7">J20</f>
        <v>0</v>
      </c>
      <c r="L20" s="120">
        <f t="shared" ref="L20" si="8">K20</f>
        <v>0</v>
      </c>
      <c r="M20" s="120">
        <v>0</v>
      </c>
      <c r="N20" s="120">
        <f t="shared" ref="N20" si="9">M20</f>
        <v>0</v>
      </c>
      <c r="O20" s="120">
        <f t="shared" ref="O20" si="10">N20</f>
        <v>0</v>
      </c>
      <c r="P20" s="75"/>
      <c r="Q20" s="75"/>
      <c r="R20" s="75"/>
      <c r="S20" s="75"/>
      <c r="T20" s="75"/>
    </row>
    <row r="21" spans="1:20">
      <c r="A21" s="65">
        <v>9</v>
      </c>
      <c r="B21" s="36" t="s">
        <v>31</v>
      </c>
      <c r="C21" s="8" t="s">
        <v>35</v>
      </c>
      <c r="D21" s="9">
        <f>(D18+D19)/2*D20/12</f>
        <v>960.14068664235663</v>
      </c>
      <c r="E21" s="9">
        <f>(D23+(E18+E19)/2)*E20/12</f>
        <v>2427.63580099929</v>
      </c>
      <c r="F21" s="9">
        <f t="shared" ref="F21:O21" si="11">(E23+(F18+F19)/2)*F20/12</f>
        <v>1581.491956166916</v>
      </c>
      <c r="G21" s="9">
        <f t="shared" si="11"/>
        <v>0</v>
      </c>
      <c r="H21" s="9">
        <f t="shared" si="11"/>
        <v>0</v>
      </c>
      <c r="I21" s="9">
        <f t="shared" si="11"/>
        <v>0</v>
      </c>
      <c r="J21" s="9">
        <f t="shared" si="11"/>
        <v>0</v>
      </c>
      <c r="K21" s="9">
        <f t="shared" si="11"/>
        <v>0</v>
      </c>
      <c r="L21" s="9">
        <f t="shared" si="11"/>
        <v>0</v>
      </c>
      <c r="M21" s="9">
        <f t="shared" si="11"/>
        <v>0</v>
      </c>
      <c r="N21" s="9">
        <f t="shared" si="11"/>
        <v>0</v>
      </c>
      <c r="O21" s="9">
        <f t="shared" si="11"/>
        <v>0</v>
      </c>
      <c r="P21" s="69">
        <f>SUM(D21:F21)</f>
        <v>4969.2684438085626</v>
      </c>
      <c r="Q21" s="69">
        <f>SUM(G21:I21)</f>
        <v>0</v>
      </c>
      <c r="R21" s="69">
        <f>SUM(J21:L21)</f>
        <v>0</v>
      </c>
      <c r="S21" s="69">
        <f>SUM(M21:O21)</f>
        <v>0</v>
      </c>
      <c r="T21" s="9">
        <f>SUM(D21:O21)</f>
        <v>4969.2684438085626</v>
      </c>
    </row>
    <row r="22" spans="1:20" ht="15.75" thickBot="1">
      <c r="A22" s="65"/>
      <c r="B22" s="10" t="s">
        <v>32</v>
      </c>
      <c r="C22" s="65"/>
      <c r="D22" s="12">
        <f>D18+D19+D21</f>
        <v>543157.23431997315</v>
      </c>
      <c r="E22" s="12">
        <f t="shared" ref="E22:O22" si="12">E18+E19+E21</f>
        <v>287013.38419594604</v>
      </c>
      <c r="F22" s="12">
        <f t="shared" si="12"/>
        <v>-765681.93453435402</v>
      </c>
      <c r="G22" s="12">
        <f t="shared" si="12"/>
        <v>0</v>
      </c>
      <c r="H22" s="12">
        <f t="shared" si="12"/>
        <v>0</v>
      </c>
      <c r="I22" s="12">
        <f t="shared" si="12"/>
        <v>0</v>
      </c>
      <c r="J22" s="12">
        <f t="shared" si="12"/>
        <v>0</v>
      </c>
      <c r="K22" s="12">
        <f t="shared" si="12"/>
        <v>0</v>
      </c>
      <c r="L22" s="12">
        <f t="shared" si="12"/>
        <v>0</v>
      </c>
      <c r="M22" s="12">
        <f t="shared" si="12"/>
        <v>0</v>
      </c>
      <c r="N22" s="12">
        <f t="shared" si="12"/>
        <v>0</v>
      </c>
      <c r="O22" s="12">
        <f t="shared" si="12"/>
        <v>0</v>
      </c>
      <c r="P22" s="71">
        <f>P18+P19+P21</f>
        <v>64488.683981565133</v>
      </c>
      <c r="Q22" s="71">
        <f>Q18+Q19+Q21</f>
        <v>0</v>
      </c>
      <c r="R22" s="71">
        <f>R18+R19+R21</f>
        <v>0</v>
      </c>
      <c r="S22" s="71">
        <f>S18+S19+S21</f>
        <v>0</v>
      </c>
      <c r="T22" s="71">
        <f>T18+T19+T21</f>
        <v>64488.683981565133</v>
      </c>
    </row>
    <row r="23" spans="1:20" ht="27" thickBot="1">
      <c r="A23" s="65">
        <v>10</v>
      </c>
      <c r="B23" s="139" t="s">
        <v>101</v>
      </c>
      <c r="C23" s="65" t="str">
        <f>"Σ(("&amp;A$18&amp;") ~ ("&amp;A21&amp;"))"</f>
        <v>Σ((7) ~ (9))</v>
      </c>
      <c r="D23" s="69">
        <f>D18+D19+D21</f>
        <v>543157.23431997315</v>
      </c>
      <c r="E23" s="69">
        <f>D23+E18+E19+E21</f>
        <v>830170.61851591908</v>
      </c>
      <c r="F23" s="69">
        <f t="shared" ref="F23:N23" si="13">E23+F18+F19+F21</f>
        <v>64488.683981565024</v>
      </c>
      <c r="G23" s="69">
        <f t="shared" si="13"/>
        <v>64488.683981565024</v>
      </c>
      <c r="H23" s="69">
        <f t="shared" si="13"/>
        <v>64488.683981565024</v>
      </c>
      <c r="I23" s="69">
        <f t="shared" si="13"/>
        <v>64488.683981565024</v>
      </c>
      <c r="J23" s="69">
        <f t="shared" si="13"/>
        <v>64488.683981565024</v>
      </c>
      <c r="K23" s="69">
        <f t="shared" si="13"/>
        <v>64488.683981565024</v>
      </c>
      <c r="L23" s="69">
        <f t="shared" si="13"/>
        <v>64488.683981565024</v>
      </c>
      <c r="M23" s="69">
        <f t="shared" si="13"/>
        <v>64488.683981565024</v>
      </c>
      <c r="N23" s="69">
        <f t="shared" si="13"/>
        <v>64488.683981565024</v>
      </c>
      <c r="O23" s="121">
        <f>N23+O18+O19+O21</f>
        <v>64488.683981565024</v>
      </c>
      <c r="P23" s="69"/>
      <c r="Q23" s="29"/>
      <c r="R23" s="69"/>
      <c r="S23" s="69"/>
      <c r="T23" s="1"/>
    </row>
    <row r="24" spans="1:20">
      <c r="A24" s="65"/>
      <c r="B24" s="36"/>
      <c r="C24" s="65"/>
      <c r="D24" s="66"/>
      <c r="E24" s="66"/>
      <c r="F24" s="66"/>
      <c r="G24" s="66"/>
      <c r="H24" s="66"/>
      <c r="I24" s="66"/>
      <c r="J24" s="66"/>
      <c r="K24" s="66"/>
      <c r="L24" s="66"/>
      <c r="M24" s="66"/>
      <c r="N24" s="66"/>
      <c r="O24" s="66"/>
      <c r="P24" s="69"/>
      <c r="Q24" s="29"/>
      <c r="R24" s="69"/>
      <c r="S24" s="69"/>
      <c r="T24" s="1"/>
    </row>
    <row r="25" spans="1:20">
      <c r="A25" s="65"/>
      <c r="B25" s="2" t="s">
        <v>33</v>
      </c>
      <c r="C25" s="65"/>
      <c r="D25" s="65"/>
      <c r="E25" s="65"/>
      <c r="F25" s="65"/>
      <c r="G25" s="65"/>
      <c r="H25" s="65"/>
      <c r="I25" s="65"/>
      <c r="J25" s="65"/>
      <c r="K25" s="65"/>
      <c r="L25" s="65"/>
      <c r="M25" s="65"/>
      <c r="N25" s="65"/>
      <c r="O25" s="65"/>
      <c r="P25" s="69"/>
      <c r="Q25" s="37"/>
      <c r="R25" s="69"/>
      <c r="S25" s="69"/>
      <c r="T25" s="5"/>
    </row>
    <row r="26" spans="1:20">
      <c r="A26" s="65">
        <v>11</v>
      </c>
      <c r="B26" s="36" t="s">
        <v>20</v>
      </c>
      <c r="C26" s="65" t="s">
        <v>21</v>
      </c>
      <c r="D26" s="144">
        <v>3021</v>
      </c>
      <c r="E26" s="144">
        <v>3035</v>
      </c>
      <c r="F26" s="144">
        <v>3095</v>
      </c>
      <c r="G26" s="144"/>
      <c r="H26" s="144"/>
      <c r="I26" s="144"/>
      <c r="J26" s="144"/>
      <c r="K26" s="144"/>
      <c r="L26" s="144"/>
      <c r="M26" s="144"/>
      <c r="N26" s="144"/>
      <c r="O26" s="144"/>
      <c r="P26" s="68">
        <f>SUM(D26:F26)</f>
        <v>9151</v>
      </c>
      <c r="Q26" s="68">
        <f>SUM(G26:I26)</f>
        <v>0</v>
      </c>
      <c r="R26" s="68">
        <f>SUM(J26:L26)</f>
        <v>0</v>
      </c>
      <c r="S26" s="68">
        <f>SUM(M26:O26)</f>
        <v>0</v>
      </c>
      <c r="T26" s="68">
        <f>SUM(D26:O26)</f>
        <v>9151</v>
      </c>
    </row>
    <row r="27" spans="1:20" s="74" customFormat="1">
      <c r="A27" s="145">
        <v>12</v>
      </c>
      <c r="B27" s="112" t="s">
        <v>22</v>
      </c>
      <c r="C27" s="116" t="s">
        <v>98</v>
      </c>
      <c r="D27" s="146">
        <v>753.64912048196356</v>
      </c>
      <c r="E27" s="146">
        <v>633.97166971988349</v>
      </c>
      <c r="F27" s="146">
        <v>560.24514123304027</v>
      </c>
      <c r="G27" s="146">
        <v>374.05059994815878</v>
      </c>
      <c r="H27" s="146">
        <v>292.93939800419764</v>
      </c>
      <c r="I27" s="146">
        <v>222.77670672231574</v>
      </c>
      <c r="J27" s="146">
        <v>168.5764467696693</v>
      </c>
      <c r="K27" s="146">
        <v>165.54758518193424</v>
      </c>
      <c r="L27" s="146">
        <v>202.0360835406639</v>
      </c>
      <c r="M27" s="146">
        <v>414.48355558896066</v>
      </c>
      <c r="N27" s="146">
        <v>584.57214026046665</v>
      </c>
      <c r="O27" s="146">
        <v>759.99155254874597</v>
      </c>
      <c r="P27" s="150">
        <f>P28/P26</f>
        <v>648.54515601487458</v>
      </c>
      <c r="Q27" s="150" t="e">
        <f>Q28/Q26</f>
        <v>#DIV/0!</v>
      </c>
      <c r="R27" s="150" t="e">
        <f>R28/R26</f>
        <v>#DIV/0!</v>
      </c>
      <c r="S27" s="150" t="e">
        <f>S28/S26</f>
        <v>#DIV/0!</v>
      </c>
      <c r="T27" s="150">
        <f>T28/T26</f>
        <v>648.54515601487458</v>
      </c>
    </row>
    <row r="28" spans="1:20">
      <c r="A28" s="65">
        <v>13</v>
      </c>
      <c r="B28" s="36" t="s">
        <v>23</v>
      </c>
      <c r="C28" s="65" t="str">
        <f>"("&amp;A26&amp;") x ("&amp;A27&amp;")"</f>
        <v>(11) x (12)</v>
      </c>
      <c r="D28" s="69">
        <f t="shared" ref="D28:O28" si="14">D26*D27</f>
        <v>2276773.9929760117</v>
      </c>
      <c r="E28" s="69">
        <f t="shared" si="14"/>
        <v>1924104.0175998465</v>
      </c>
      <c r="F28" s="69">
        <f t="shared" si="14"/>
        <v>1733958.7121162596</v>
      </c>
      <c r="G28" s="69">
        <f t="shared" si="14"/>
        <v>0</v>
      </c>
      <c r="H28" s="69">
        <f t="shared" si="14"/>
        <v>0</v>
      </c>
      <c r="I28" s="69">
        <f t="shared" si="14"/>
        <v>0</v>
      </c>
      <c r="J28" s="69">
        <f t="shared" si="14"/>
        <v>0</v>
      </c>
      <c r="K28" s="69">
        <f t="shared" si="14"/>
        <v>0</v>
      </c>
      <c r="L28" s="69">
        <f t="shared" si="14"/>
        <v>0</v>
      </c>
      <c r="M28" s="69">
        <f t="shared" si="14"/>
        <v>0</v>
      </c>
      <c r="N28" s="69">
        <f t="shared" si="14"/>
        <v>0</v>
      </c>
      <c r="O28" s="69">
        <f t="shared" si="14"/>
        <v>0</v>
      </c>
      <c r="P28" s="69">
        <f>SUM(D28:F28)</f>
        <v>5934836.7226921171</v>
      </c>
      <c r="Q28" s="69">
        <f>SUM(G28:I28)</f>
        <v>0</v>
      </c>
      <c r="R28" s="69">
        <f>SUM(J28:L28)</f>
        <v>0</v>
      </c>
      <c r="S28" s="69">
        <f>SUM(M28:O28)</f>
        <v>0</v>
      </c>
      <c r="T28" s="69">
        <f>SUM(D28:O28)</f>
        <v>5934836.7226921171</v>
      </c>
    </row>
    <row r="29" spans="1:20">
      <c r="A29" s="65"/>
      <c r="B29" s="36"/>
      <c r="C29" s="65"/>
      <c r="D29" s="69"/>
      <c r="E29" s="69"/>
      <c r="F29" s="69"/>
      <c r="G29" s="69"/>
      <c r="H29" s="69"/>
      <c r="I29" s="69"/>
      <c r="J29" s="69"/>
      <c r="K29" s="69"/>
      <c r="L29" s="69"/>
      <c r="M29" s="69"/>
      <c r="N29" s="69"/>
      <c r="O29" s="69"/>
      <c r="P29" s="66"/>
      <c r="Q29" s="66"/>
      <c r="R29" s="66"/>
      <c r="S29" s="66"/>
      <c r="T29" s="66"/>
    </row>
    <row r="30" spans="1:20">
      <c r="A30" s="65"/>
      <c r="B30" s="36" t="s">
        <v>99</v>
      </c>
      <c r="C30" s="65"/>
      <c r="D30" s="144">
        <v>6971726.6354099996</v>
      </c>
      <c r="E30" s="144">
        <v>7651846.1468699994</v>
      </c>
      <c r="F30" s="144">
        <v>5951563.6258100001</v>
      </c>
      <c r="G30" s="144"/>
      <c r="H30" s="144"/>
      <c r="I30" s="144"/>
      <c r="J30" s="144"/>
      <c r="K30" s="144"/>
      <c r="L30" s="144"/>
      <c r="M30" s="144"/>
      <c r="N30" s="144"/>
      <c r="O30" s="144"/>
      <c r="P30" s="66"/>
      <c r="Q30" s="66"/>
      <c r="R30" s="66"/>
      <c r="S30" s="66"/>
      <c r="T30" s="66"/>
    </row>
    <row r="31" spans="1:20" ht="26.25">
      <c r="A31" s="65">
        <v>14</v>
      </c>
      <c r="B31" s="147" t="s">
        <v>100</v>
      </c>
      <c r="C31" s="65" t="s">
        <v>21</v>
      </c>
      <c r="D31" s="148">
        <v>2132043.7323099999</v>
      </c>
      <c r="E31" s="148">
        <v>2288489.9065799997</v>
      </c>
      <c r="F31" s="148">
        <v>1867196.0976</v>
      </c>
      <c r="G31" s="148"/>
      <c r="H31" s="148"/>
      <c r="I31" s="148"/>
      <c r="J31" s="148"/>
      <c r="K31" s="148"/>
      <c r="L31" s="148"/>
      <c r="M31" s="148"/>
      <c r="N31" s="148"/>
      <c r="O31" s="148"/>
      <c r="P31" s="38"/>
      <c r="Q31" s="38"/>
      <c r="R31" s="38"/>
      <c r="S31" s="38"/>
      <c r="T31" s="38"/>
    </row>
    <row r="32" spans="1:20">
      <c r="A32" s="65">
        <v>15</v>
      </c>
      <c r="B32" s="36" t="s">
        <v>24</v>
      </c>
      <c r="C32" s="65" t="s">
        <v>21</v>
      </c>
      <c r="D32" s="148">
        <v>310459.05</v>
      </c>
      <c r="E32" s="148">
        <v>312003.61</v>
      </c>
      <c r="F32" s="148">
        <v>317740.88</v>
      </c>
      <c r="G32" s="148"/>
      <c r="H32" s="148"/>
      <c r="I32" s="148"/>
      <c r="J32" s="148"/>
      <c r="K32" s="148"/>
      <c r="L32" s="148"/>
      <c r="M32" s="148"/>
      <c r="N32" s="148"/>
      <c r="O32" s="148"/>
      <c r="P32" s="38"/>
      <c r="Q32" s="38"/>
      <c r="R32" s="38"/>
      <c r="S32" s="38"/>
      <c r="T32" s="38"/>
    </row>
    <row r="33" spans="1:20">
      <c r="A33" s="65">
        <v>16</v>
      </c>
      <c r="B33" s="36" t="s">
        <v>25</v>
      </c>
      <c r="C33" s="65" t="str">
        <f>"("&amp;A31&amp;") - ("&amp;A32&amp;")"</f>
        <v>(14) - (15)</v>
      </c>
      <c r="D33" s="69">
        <f t="shared" ref="D33:O33" si="15">D31-D32</f>
        <v>1821584.6823099998</v>
      </c>
      <c r="E33" s="69">
        <f t="shared" si="15"/>
        <v>1976486.2965799998</v>
      </c>
      <c r="F33" s="69">
        <f t="shared" si="15"/>
        <v>1549455.2176000001</v>
      </c>
      <c r="G33" s="69">
        <f t="shared" si="15"/>
        <v>0</v>
      </c>
      <c r="H33" s="69">
        <f t="shared" si="15"/>
        <v>0</v>
      </c>
      <c r="I33" s="69">
        <f t="shared" si="15"/>
        <v>0</v>
      </c>
      <c r="J33" s="69">
        <f t="shared" si="15"/>
        <v>0</v>
      </c>
      <c r="K33" s="69">
        <f t="shared" si="15"/>
        <v>0</v>
      </c>
      <c r="L33" s="69">
        <f t="shared" si="15"/>
        <v>0</v>
      </c>
      <c r="M33" s="69">
        <f t="shared" si="15"/>
        <v>0</v>
      </c>
      <c r="N33" s="69">
        <f t="shared" si="15"/>
        <v>0</v>
      </c>
      <c r="O33" s="69">
        <f t="shared" si="15"/>
        <v>0</v>
      </c>
      <c r="P33" s="69">
        <f>SUM(D33:F33)</f>
        <v>5347526.19649</v>
      </c>
      <c r="Q33" s="69">
        <f>SUM(G33:I33)</f>
        <v>0</v>
      </c>
      <c r="R33" s="69">
        <f>SUM(J33:L33)</f>
        <v>0</v>
      </c>
      <c r="S33" s="69">
        <f>SUM(M33:O33)</f>
        <v>0</v>
      </c>
      <c r="T33" s="69">
        <f>SUM(D33:O33)</f>
        <v>5347526.19649</v>
      </c>
    </row>
    <row r="34" spans="1:20">
      <c r="A34" s="6"/>
      <c r="B34" s="65" t="s">
        <v>34</v>
      </c>
      <c r="C34" s="65"/>
      <c r="D34" s="72">
        <f>D33/D26</f>
        <v>602.97407557431313</v>
      </c>
      <c r="E34" s="72">
        <f t="shared" ref="E34:O34" si="16">E33/E26</f>
        <v>651.23106971334425</v>
      </c>
      <c r="F34" s="72">
        <f t="shared" si="16"/>
        <v>500.6317342810986</v>
      </c>
      <c r="G34" s="72" t="e">
        <f t="shared" si="16"/>
        <v>#DIV/0!</v>
      </c>
      <c r="H34" s="72" t="e">
        <f t="shared" si="16"/>
        <v>#DIV/0!</v>
      </c>
      <c r="I34" s="72" t="e">
        <f t="shared" si="16"/>
        <v>#DIV/0!</v>
      </c>
      <c r="J34" s="72" t="e">
        <f t="shared" si="16"/>
        <v>#DIV/0!</v>
      </c>
      <c r="K34" s="72" t="e">
        <f t="shared" si="16"/>
        <v>#DIV/0!</v>
      </c>
      <c r="L34" s="72" t="e">
        <f t="shared" si="16"/>
        <v>#DIV/0!</v>
      </c>
      <c r="M34" s="72" t="e">
        <f t="shared" si="16"/>
        <v>#DIV/0!</v>
      </c>
      <c r="N34" s="72" t="e">
        <f t="shared" si="16"/>
        <v>#DIV/0!</v>
      </c>
      <c r="O34" s="72" t="e">
        <f t="shared" si="16"/>
        <v>#DIV/0!</v>
      </c>
      <c r="P34" s="150">
        <f>P33/P26</f>
        <v>584.36522746038679</v>
      </c>
      <c r="Q34" s="150" t="e">
        <f>Q33/Q26</f>
        <v>#DIV/0!</v>
      </c>
      <c r="R34" s="150" t="e">
        <f>R33/R26</f>
        <v>#DIV/0!</v>
      </c>
      <c r="S34" s="150" t="e">
        <f>S33/S26</f>
        <v>#DIV/0!</v>
      </c>
      <c r="T34" s="150">
        <f>T33/T26</f>
        <v>584.36522746038679</v>
      </c>
    </row>
    <row r="35" spans="1:20">
      <c r="A35" s="65">
        <v>17</v>
      </c>
      <c r="B35" s="36" t="s">
        <v>27</v>
      </c>
      <c r="C35" s="65" t="str">
        <f>"("&amp;A28&amp;") - ("&amp;A33&amp;")"</f>
        <v>(13) - (16)</v>
      </c>
      <c r="D35" s="119">
        <f t="shared" ref="D35:O35" si="17">D28-D33</f>
        <v>455189.31066601188</v>
      </c>
      <c r="E35" s="119">
        <f t="shared" si="17"/>
        <v>-52382.27898015338</v>
      </c>
      <c r="F35" s="119">
        <f t="shared" si="17"/>
        <v>184503.49451625952</v>
      </c>
      <c r="G35" s="119">
        <f t="shared" si="17"/>
        <v>0</v>
      </c>
      <c r="H35" s="119">
        <f t="shared" si="17"/>
        <v>0</v>
      </c>
      <c r="I35" s="119">
        <f t="shared" si="17"/>
        <v>0</v>
      </c>
      <c r="J35" s="119">
        <f t="shared" si="17"/>
        <v>0</v>
      </c>
      <c r="K35" s="119">
        <f t="shared" si="17"/>
        <v>0</v>
      </c>
      <c r="L35" s="119">
        <f t="shared" si="17"/>
        <v>0</v>
      </c>
      <c r="M35" s="119">
        <f t="shared" si="17"/>
        <v>0</v>
      </c>
      <c r="N35" s="119">
        <f t="shared" si="17"/>
        <v>0</v>
      </c>
      <c r="O35" s="119">
        <f t="shared" si="17"/>
        <v>0</v>
      </c>
      <c r="P35" s="69">
        <f>SUM(D35:F35)</f>
        <v>587310.52620211802</v>
      </c>
      <c r="Q35" s="69">
        <f>SUM(G35:I35)</f>
        <v>0</v>
      </c>
      <c r="R35" s="69">
        <f>SUM(J35:L35)</f>
        <v>0</v>
      </c>
      <c r="S35" s="69">
        <f>SUM(M35:O35)</f>
        <v>0</v>
      </c>
      <c r="T35" s="69">
        <f>SUM(D35:O35)</f>
        <v>587310.52620211802</v>
      </c>
    </row>
    <row r="36" spans="1:20">
      <c r="A36" s="65">
        <v>18</v>
      </c>
      <c r="B36" s="36" t="s">
        <v>28</v>
      </c>
      <c r="C36" s="65" t="s">
        <v>29</v>
      </c>
      <c r="D36" s="119">
        <f>D35*-0.045668</f>
        <v>-20787.585439495429</v>
      </c>
      <c r="E36" s="119">
        <f>E35*-0.045668</f>
        <v>2392.1939164656446</v>
      </c>
      <c r="F36" s="119">
        <f t="shared" ref="F36:O36" si="18">F35*-0.045668</f>
        <v>-8425.9055875685408</v>
      </c>
      <c r="G36" s="119">
        <f t="shared" si="18"/>
        <v>0</v>
      </c>
      <c r="H36" s="119">
        <f t="shared" si="18"/>
        <v>0</v>
      </c>
      <c r="I36" s="119">
        <f t="shared" si="18"/>
        <v>0</v>
      </c>
      <c r="J36" s="119">
        <f t="shared" si="18"/>
        <v>0</v>
      </c>
      <c r="K36" s="119">
        <f t="shared" si="18"/>
        <v>0</v>
      </c>
      <c r="L36" s="119">
        <f t="shared" si="18"/>
        <v>0</v>
      </c>
      <c r="M36" s="119">
        <f t="shared" si="18"/>
        <v>0</v>
      </c>
      <c r="N36" s="119">
        <f t="shared" si="18"/>
        <v>0</v>
      </c>
      <c r="O36" s="119">
        <f t="shared" si="18"/>
        <v>0</v>
      </c>
      <c r="P36" s="69">
        <f>SUM(D36:F36)</f>
        <v>-26821.297110598327</v>
      </c>
      <c r="Q36" s="69">
        <f>SUM(G36:I36)</f>
        <v>0</v>
      </c>
      <c r="R36" s="69">
        <f>SUM(J36:L36)</f>
        <v>0</v>
      </c>
      <c r="S36" s="69">
        <f>SUM(M36:O36)</f>
        <v>0</v>
      </c>
      <c r="T36" s="69">
        <f>SUM(D36:O36)</f>
        <v>-26821.297110598327</v>
      </c>
    </row>
    <row r="37" spans="1:20" ht="14.45" customHeight="1">
      <c r="A37" s="8"/>
      <c r="B37" s="17"/>
      <c r="C37" s="65" t="s">
        <v>30</v>
      </c>
      <c r="D37" s="120">
        <f t="shared" ref="D37:O37" si="19">D20</f>
        <v>4.2500000000000003E-2</v>
      </c>
      <c r="E37" s="120">
        <f t="shared" si="19"/>
        <v>4.2500000000000003E-2</v>
      </c>
      <c r="F37" s="120">
        <f t="shared" si="19"/>
        <v>4.2500000000000003E-2</v>
      </c>
      <c r="G37" s="120">
        <f t="shared" si="19"/>
        <v>0</v>
      </c>
      <c r="H37" s="120">
        <f t="shared" si="19"/>
        <v>0</v>
      </c>
      <c r="I37" s="120">
        <f t="shared" si="19"/>
        <v>0</v>
      </c>
      <c r="J37" s="120">
        <f t="shared" si="19"/>
        <v>0</v>
      </c>
      <c r="K37" s="120">
        <f t="shared" si="19"/>
        <v>0</v>
      </c>
      <c r="L37" s="120">
        <f t="shared" si="19"/>
        <v>0</v>
      </c>
      <c r="M37" s="120">
        <f t="shared" si="19"/>
        <v>0</v>
      </c>
      <c r="N37" s="120">
        <f t="shared" si="19"/>
        <v>0</v>
      </c>
      <c r="O37" s="120">
        <f t="shared" si="19"/>
        <v>0</v>
      </c>
      <c r="P37" s="75"/>
      <c r="Q37" s="75"/>
      <c r="R37" s="75"/>
      <c r="S37" s="75"/>
      <c r="T37" s="75"/>
    </row>
    <row r="38" spans="1:20">
      <c r="A38" s="65">
        <v>19</v>
      </c>
      <c r="B38" s="36" t="s">
        <v>31</v>
      </c>
      <c r="C38" s="65" t="s">
        <v>35</v>
      </c>
      <c r="D38" s="9">
        <f>(D35+D36)/2*D37/12</f>
        <v>769.253055088623</v>
      </c>
      <c r="E38" s="9">
        <f>(D40+(E35+E36)/2)*E37/12</f>
        <v>1452.7064391137376</v>
      </c>
      <c r="F38" s="9">
        <f t="shared" ref="F38:O38" si="20">(E40+(F35+F36)/2)*F37/12</f>
        <v>1681.1313958465419</v>
      </c>
      <c r="G38" s="9">
        <f t="shared" si="20"/>
        <v>0</v>
      </c>
      <c r="H38" s="9">
        <f t="shared" si="20"/>
        <v>0</v>
      </c>
      <c r="I38" s="9">
        <f t="shared" si="20"/>
        <v>0</v>
      </c>
      <c r="J38" s="9">
        <f t="shared" si="20"/>
        <v>0</v>
      </c>
      <c r="K38" s="9">
        <f t="shared" si="20"/>
        <v>0</v>
      </c>
      <c r="L38" s="9">
        <f t="shared" si="20"/>
        <v>0</v>
      </c>
      <c r="M38" s="9">
        <f t="shared" si="20"/>
        <v>0</v>
      </c>
      <c r="N38" s="9">
        <f t="shared" si="20"/>
        <v>0</v>
      </c>
      <c r="O38" s="9">
        <f t="shared" si="20"/>
        <v>0</v>
      </c>
      <c r="P38" s="69">
        <f>SUM(D38:F38)</f>
        <v>3903.0908900489021</v>
      </c>
      <c r="Q38" s="69">
        <f>SUM(G38:I38)</f>
        <v>0</v>
      </c>
      <c r="R38" s="69">
        <f>SUM(J38:L38)</f>
        <v>0</v>
      </c>
      <c r="S38" s="69">
        <f>SUM(M38:O38)</f>
        <v>0</v>
      </c>
      <c r="T38" s="9">
        <f>SUM(D38:O38)</f>
        <v>3903.0908900489021</v>
      </c>
    </row>
    <row r="39" spans="1:20" ht="15.75" thickBot="1">
      <c r="A39" s="65"/>
      <c r="B39" s="10" t="s">
        <v>36</v>
      </c>
      <c r="C39" s="65"/>
      <c r="D39" s="12">
        <f>D35+D36+D38</f>
        <v>435170.97828160506</v>
      </c>
      <c r="E39" s="12">
        <f t="shared" ref="E39:O39" si="21">E35+E36+E38</f>
        <v>-48537.378624573998</v>
      </c>
      <c r="F39" s="12">
        <f t="shared" si="21"/>
        <v>177758.72032453754</v>
      </c>
      <c r="G39" s="12">
        <f t="shared" si="21"/>
        <v>0</v>
      </c>
      <c r="H39" s="12">
        <f t="shared" si="21"/>
        <v>0</v>
      </c>
      <c r="I39" s="12">
        <f t="shared" si="21"/>
        <v>0</v>
      </c>
      <c r="J39" s="12">
        <f t="shared" si="21"/>
        <v>0</v>
      </c>
      <c r="K39" s="12">
        <f t="shared" si="21"/>
        <v>0</v>
      </c>
      <c r="L39" s="12">
        <f t="shared" si="21"/>
        <v>0</v>
      </c>
      <c r="M39" s="12">
        <f t="shared" si="21"/>
        <v>0</v>
      </c>
      <c r="N39" s="12">
        <f t="shared" si="21"/>
        <v>0</v>
      </c>
      <c r="O39" s="12">
        <f t="shared" si="21"/>
        <v>0</v>
      </c>
      <c r="P39" s="71">
        <f>P35+P36+P38</f>
        <v>564392.31998156861</v>
      </c>
      <c r="Q39" s="71">
        <f>Q35+Q36+Q38</f>
        <v>0</v>
      </c>
      <c r="R39" s="71">
        <f>R35+R36+R38</f>
        <v>0</v>
      </c>
      <c r="S39" s="71">
        <f>S35+S36+S38</f>
        <v>0</v>
      </c>
      <c r="T39" s="71">
        <f>T35+T36+T38</f>
        <v>564392.31998156861</v>
      </c>
    </row>
    <row r="40" spans="1:20" ht="27" thickBot="1">
      <c r="A40" s="65">
        <v>20</v>
      </c>
      <c r="B40" s="139" t="s">
        <v>102</v>
      </c>
      <c r="C40" s="65" t="str">
        <f>"Σ(("&amp;A35&amp;") ~ ("&amp;A38&amp;"))"</f>
        <v>Σ((17) ~ (19))</v>
      </c>
      <c r="D40" s="69">
        <f>D35+D36+D38</f>
        <v>435170.97828160506</v>
      </c>
      <c r="E40" s="69">
        <f>D40+E35+E36+E38</f>
        <v>386633.59965703101</v>
      </c>
      <c r="F40" s="69">
        <f t="shared" ref="F40:O40" si="22">E40+F35+F36+F38</f>
        <v>564392.31998156849</v>
      </c>
      <c r="G40" s="69">
        <f t="shared" si="22"/>
        <v>564392.31998156849</v>
      </c>
      <c r="H40" s="69">
        <f t="shared" si="22"/>
        <v>564392.31998156849</v>
      </c>
      <c r="I40" s="69">
        <f t="shared" si="22"/>
        <v>564392.31998156849</v>
      </c>
      <c r="J40" s="69">
        <f t="shared" si="22"/>
        <v>564392.31998156849</v>
      </c>
      <c r="K40" s="69">
        <f t="shared" si="22"/>
        <v>564392.31998156849</v>
      </c>
      <c r="L40" s="69">
        <f t="shared" si="22"/>
        <v>564392.31998156849</v>
      </c>
      <c r="M40" s="69">
        <f t="shared" si="22"/>
        <v>564392.31998156849</v>
      </c>
      <c r="N40" s="69">
        <f t="shared" si="22"/>
        <v>564392.31998156849</v>
      </c>
      <c r="O40" s="121">
        <f t="shared" si="22"/>
        <v>564392.31998156849</v>
      </c>
      <c r="P40" s="70"/>
      <c r="Q40" s="32"/>
      <c r="R40" s="70"/>
      <c r="S40" s="70"/>
    </row>
    <row r="41" spans="1:20" ht="15.75" thickBot="1">
      <c r="A41" s="65"/>
      <c r="B41" s="36"/>
      <c r="C41" s="36"/>
      <c r="D41" s="36"/>
      <c r="E41" s="36"/>
      <c r="F41" s="36"/>
      <c r="G41" s="36"/>
      <c r="H41" s="36"/>
      <c r="I41" s="36"/>
      <c r="J41" s="36"/>
      <c r="K41" s="36"/>
      <c r="L41" s="36"/>
      <c r="M41" s="36"/>
      <c r="N41" s="36"/>
      <c r="O41" s="36"/>
      <c r="P41" s="67"/>
      <c r="Q41" s="28"/>
      <c r="R41" s="67"/>
      <c r="S41" s="67"/>
      <c r="T41" s="1"/>
    </row>
    <row r="42" spans="1:20" ht="15.75" thickBot="1">
      <c r="A42" s="2">
        <v>21</v>
      </c>
      <c r="B42" s="10" t="s">
        <v>64</v>
      </c>
      <c r="C42" s="2" t="str">
        <f>"("&amp;A23&amp;") + ("&amp;A40&amp;")"</f>
        <v>(10) + (20)</v>
      </c>
      <c r="D42" s="69">
        <f t="shared" ref="D42:O42" si="23">D23+D40</f>
        <v>978328.21260157821</v>
      </c>
      <c r="E42" s="69">
        <f t="shared" si="23"/>
        <v>1216804.2181729502</v>
      </c>
      <c r="F42" s="69">
        <f t="shared" si="23"/>
        <v>628881.00396313355</v>
      </c>
      <c r="G42" s="69">
        <f t="shared" si="23"/>
        <v>628881.00396313355</v>
      </c>
      <c r="H42" s="69">
        <f t="shared" si="23"/>
        <v>628881.00396313355</v>
      </c>
      <c r="I42" s="69">
        <f t="shared" si="23"/>
        <v>628881.00396313355</v>
      </c>
      <c r="J42" s="69">
        <f t="shared" si="23"/>
        <v>628881.00396313355</v>
      </c>
      <c r="K42" s="69">
        <f t="shared" si="23"/>
        <v>628881.00396313355</v>
      </c>
      <c r="L42" s="69">
        <f t="shared" si="23"/>
        <v>628881.00396313355</v>
      </c>
      <c r="M42" s="69">
        <f t="shared" si="23"/>
        <v>628881.00396313355</v>
      </c>
      <c r="N42" s="69">
        <f t="shared" si="23"/>
        <v>628881.00396313355</v>
      </c>
      <c r="O42" s="121">
        <f t="shared" si="23"/>
        <v>628881.00396313355</v>
      </c>
    </row>
  </sheetData>
  <printOptions horizontalCentered="1"/>
  <pageMargins left="0.7" right="0.71" top="1.1299999999999999" bottom="0.75" header="0.5" footer="0.5"/>
  <pageSetup scale="70" firstPageNumber="2" orientation="landscape" useFirstPageNumber="1" r:id="rId1"/>
  <headerFooter scaleWithDoc="0">
    <oddHeader>&amp;CAvista Corporation Decoupling Mechanism
Washington Jurisdiction
Quarterly Report for 1st Quarter 2018</oddHeader>
    <oddFooter>&amp;Cfile: &amp;F / &amp;A&amp;RPage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view="pageLayout" topLeftCell="A182" zoomScaleNormal="100" workbookViewId="0">
      <selection activeCell="H196" sqref="H196"/>
    </sheetView>
  </sheetViews>
  <sheetFormatPr defaultRowHeight="15"/>
  <cols>
    <col min="1" max="1" width="7.28515625" customWidth="1"/>
    <col min="2" max="2" width="36.28515625" customWidth="1"/>
    <col min="3" max="3" width="6.28515625" customWidth="1"/>
    <col min="4" max="4" width="9.42578125" customWidth="1"/>
    <col min="5" max="5" width="12.28515625" customWidth="1"/>
    <col min="6" max="6" width="13.28515625" customWidth="1"/>
    <col min="7" max="7" width="13.42578125" customWidth="1"/>
    <col min="8" max="8" width="3" customWidth="1"/>
    <col min="10" max="11" width="14" bestFit="1" customWidth="1"/>
    <col min="12" max="12" width="11.140625" bestFit="1" customWidth="1"/>
    <col min="13" max="14" width="11.42578125" customWidth="1"/>
  </cols>
  <sheetData>
    <row r="1" spans="1:17" ht="29.45" customHeight="1">
      <c r="A1" s="218" t="s">
        <v>42</v>
      </c>
      <c r="B1" s="218"/>
      <c r="C1" s="218"/>
      <c r="D1" s="218"/>
      <c r="E1" s="218"/>
      <c r="F1" s="218"/>
      <c r="G1" s="218"/>
      <c r="H1" s="218"/>
      <c r="I1" s="74"/>
      <c r="J1" s="74"/>
      <c r="K1" s="74"/>
    </row>
    <row r="2" spans="1:17">
      <c r="A2" s="74"/>
      <c r="B2" s="74"/>
      <c r="C2" s="74"/>
      <c r="D2" s="74"/>
      <c r="E2" s="74"/>
      <c r="F2" s="74"/>
      <c r="G2" s="74"/>
      <c r="H2" s="74"/>
      <c r="I2" s="74"/>
      <c r="J2" s="74"/>
      <c r="K2" s="74"/>
    </row>
    <row r="3" spans="1:17">
      <c r="A3" s="74" t="s">
        <v>163</v>
      </c>
      <c r="B3" s="74"/>
      <c r="C3" s="74"/>
      <c r="D3" s="74"/>
      <c r="E3" s="74"/>
      <c r="F3" s="74"/>
      <c r="G3" s="74"/>
      <c r="H3" s="74"/>
      <c r="I3" s="74"/>
      <c r="J3" s="74"/>
      <c r="K3" s="74"/>
      <c r="L3" s="74"/>
      <c r="M3" s="74"/>
      <c r="N3" s="74"/>
      <c r="O3" s="74"/>
      <c r="P3" s="74"/>
      <c r="Q3" s="74"/>
    </row>
    <row r="4" spans="1:17">
      <c r="A4" s="40" t="s">
        <v>43</v>
      </c>
      <c r="B4" s="74"/>
      <c r="C4" s="18" t="s">
        <v>129</v>
      </c>
      <c r="D4" s="74"/>
      <c r="E4" s="74"/>
      <c r="F4" s="74"/>
      <c r="G4" s="74"/>
      <c r="H4" s="74"/>
      <c r="I4" s="74"/>
      <c r="J4" s="74"/>
      <c r="K4" s="74"/>
    </row>
    <row r="5" spans="1:17">
      <c r="A5" s="74"/>
      <c r="B5" s="74"/>
      <c r="C5" s="74"/>
      <c r="D5" s="74"/>
      <c r="E5" s="74"/>
      <c r="F5" s="74"/>
      <c r="G5" s="74"/>
      <c r="H5" s="74"/>
      <c r="I5" s="74"/>
      <c r="J5" s="74"/>
      <c r="K5" s="74"/>
    </row>
    <row r="6" spans="1:17" ht="26.25">
      <c r="A6" s="91" t="s">
        <v>44</v>
      </c>
      <c r="B6" s="92" t="s">
        <v>45</v>
      </c>
      <c r="C6" s="93" t="s">
        <v>46</v>
      </c>
      <c r="D6" s="91" t="s">
        <v>47</v>
      </c>
      <c r="E6" s="91" t="s">
        <v>48</v>
      </c>
      <c r="F6" s="91" t="s">
        <v>49</v>
      </c>
      <c r="G6" s="91" t="s">
        <v>50</v>
      </c>
      <c r="H6" s="74"/>
      <c r="I6" s="74"/>
      <c r="J6" s="74"/>
      <c r="K6" s="74"/>
    </row>
    <row r="7" spans="1:17" ht="14.45" customHeight="1">
      <c r="A7" s="42" t="s">
        <v>51</v>
      </c>
      <c r="B7" s="41" t="s">
        <v>52</v>
      </c>
      <c r="C7" s="43" t="s">
        <v>53</v>
      </c>
      <c r="D7" s="44" t="s">
        <v>164</v>
      </c>
      <c r="E7" s="45">
        <v>-2092789.89</v>
      </c>
      <c r="F7" s="46">
        <v>2433967.7400000002</v>
      </c>
      <c r="G7" s="45">
        <v>341177.85</v>
      </c>
      <c r="H7" s="74"/>
      <c r="I7" s="74"/>
      <c r="J7" s="74"/>
      <c r="K7" s="74"/>
    </row>
    <row r="8" spans="1:17">
      <c r="A8" s="47"/>
      <c r="B8" s="41" t="s">
        <v>52</v>
      </c>
      <c r="C8" s="48"/>
      <c r="D8" s="44" t="s">
        <v>165</v>
      </c>
      <c r="E8" s="45">
        <v>341177.85</v>
      </c>
      <c r="F8" s="46">
        <v>1738233.54</v>
      </c>
      <c r="G8" s="45">
        <v>2079411.39</v>
      </c>
      <c r="H8" s="74"/>
      <c r="I8" s="74"/>
      <c r="J8" s="74"/>
      <c r="K8" s="74"/>
    </row>
    <row r="9" spans="1:17">
      <c r="A9" s="47"/>
      <c r="B9" s="41" t="s">
        <v>52</v>
      </c>
      <c r="C9" s="49"/>
      <c r="D9" s="44" t="s">
        <v>166</v>
      </c>
      <c r="E9" s="45">
        <v>2079411.39</v>
      </c>
      <c r="F9" s="46">
        <v>645219.22</v>
      </c>
      <c r="G9" s="45">
        <v>2724630.61</v>
      </c>
      <c r="H9" s="74"/>
      <c r="I9" s="74"/>
      <c r="J9" s="74"/>
      <c r="K9" s="74"/>
    </row>
    <row r="10" spans="1:17">
      <c r="A10" s="47"/>
      <c r="B10" s="83"/>
      <c r="C10" s="84"/>
      <c r="D10" s="83"/>
      <c r="E10" s="85"/>
      <c r="F10" s="86">
        <f>SUM(F7:F9)</f>
        <v>4817420.5</v>
      </c>
      <c r="G10" s="85"/>
      <c r="H10" s="74"/>
      <c r="I10" s="74"/>
      <c r="J10" s="74"/>
      <c r="K10" s="74"/>
    </row>
    <row r="11" spans="1:17">
      <c r="A11" s="47"/>
      <c r="B11" s="41" t="s">
        <v>52</v>
      </c>
      <c r="C11" s="43" t="s">
        <v>54</v>
      </c>
      <c r="D11" s="44" t="s">
        <v>164</v>
      </c>
      <c r="E11" s="45">
        <v>-1972082.04</v>
      </c>
      <c r="F11" s="46">
        <v>2515239.27</v>
      </c>
      <c r="G11" s="45">
        <v>543157.23</v>
      </c>
      <c r="H11" s="74"/>
      <c r="I11" s="74"/>
      <c r="J11" s="74"/>
      <c r="K11" s="74"/>
    </row>
    <row r="12" spans="1:17">
      <c r="A12" s="47"/>
      <c r="B12" s="41" t="s">
        <v>52</v>
      </c>
      <c r="C12" s="48"/>
      <c r="D12" s="44" t="s">
        <v>165</v>
      </c>
      <c r="E12" s="45">
        <v>543157.23</v>
      </c>
      <c r="F12" s="46">
        <v>288006.93</v>
      </c>
      <c r="G12" s="45">
        <v>831164.16</v>
      </c>
      <c r="H12" s="74"/>
      <c r="I12" s="74"/>
      <c r="J12" s="74"/>
      <c r="K12" s="74"/>
    </row>
    <row r="13" spans="1:17">
      <c r="A13" s="47"/>
      <c r="B13" s="41" t="s">
        <v>52</v>
      </c>
      <c r="C13" s="49"/>
      <c r="D13" s="44" t="s">
        <v>166</v>
      </c>
      <c r="E13" s="45">
        <v>831164.16</v>
      </c>
      <c r="F13" s="46">
        <v>-766675.48</v>
      </c>
      <c r="G13" s="45">
        <v>64488.68</v>
      </c>
      <c r="H13" s="74"/>
      <c r="I13" s="74"/>
      <c r="J13" s="74"/>
      <c r="K13" s="74"/>
    </row>
    <row r="14" spans="1:17">
      <c r="A14" s="50"/>
      <c r="B14" s="83"/>
      <c r="C14" s="84"/>
      <c r="D14" s="83"/>
      <c r="E14" s="85"/>
      <c r="F14" s="86">
        <f>SUM(F11:F13)</f>
        <v>2036570.7200000002</v>
      </c>
      <c r="G14" s="85"/>
      <c r="H14" s="74"/>
      <c r="I14" s="74"/>
      <c r="J14" s="74"/>
      <c r="K14" s="74"/>
    </row>
    <row r="15" spans="1:17" ht="14.45" customHeight="1">
      <c r="A15" s="87"/>
      <c r="B15" s="88"/>
      <c r="C15" s="87"/>
      <c r="D15" s="87"/>
      <c r="E15" s="89"/>
      <c r="F15" s="90">
        <f>F10+F14</f>
        <v>6853991.2200000007</v>
      </c>
      <c r="G15" s="89"/>
      <c r="H15" s="74"/>
      <c r="I15" s="74"/>
      <c r="J15" s="74"/>
      <c r="K15" s="74"/>
    </row>
    <row r="16" spans="1:17" ht="14.45" customHeight="1">
      <c r="A16" s="42" t="s">
        <v>55</v>
      </c>
      <c r="B16" s="41" t="s">
        <v>56</v>
      </c>
      <c r="C16" s="43" t="s">
        <v>53</v>
      </c>
      <c r="D16" s="44" t="s">
        <v>164</v>
      </c>
      <c r="E16" s="45">
        <v>1735911.16</v>
      </c>
      <c r="F16" s="46">
        <v>-1157107.44</v>
      </c>
      <c r="G16" s="45">
        <v>578803.72</v>
      </c>
      <c r="H16" s="74"/>
      <c r="I16" s="74"/>
      <c r="J16" s="74"/>
      <c r="K16" s="74"/>
    </row>
    <row r="17" spans="1:11">
      <c r="A17" s="47"/>
      <c r="B17" s="41" t="s">
        <v>56</v>
      </c>
      <c r="C17" s="48"/>
      <c r="D17" s="44" t="s">
        <v>165</v>
      </c>
      <c r="E17" s="45">
        <v>578803.72</v>
      </c>
      <c r="F17" s="46">
        <v>420682.34</v>
      </c>
      <c r="G17" s="45">
        <v>999486.06</v>
      </c>
      <c r="H17" s="74"/>
      <c r="I17" s="74"/>
      <c r="J17" s="74"/>
      <c r="K17" s="74"/>
    </row>
    <row r="18" spans="1:11">
      <c r="A18" s="47"/>
      <c r="B18" s="41" t="s">
        <v>56</v>
      </c>
      <c r="C18" s="49"/>
      <c r="D18" s="44" t="s">
        <v>166</v>
      </c>
      <c r="E18" s="45">
        <v>999486.06</v>
      </c>
      <c r="F18" s="46">
        <v>181647.22</v>
      </c>
      <c r="G18" s="45">
        <v>1181133.28</v>
      </c>
      <c r="H18" s="74"/>
      <c r="I18" s="74"/>
      <c r="J18" s="74"/>
      <c r="K18" s="74"/>
    </row>
    <row r="19" spans="1:11">
      <c r="A19" s="47"/>
      <c r="B19" s="83"/>
      <c r="C19" s="84"/>
      <c r="D19" s="83"/>
      <c r="E19" s="85"/>
      <c r="F19" s="86">
        <f>SUM(F16:F18)</f>
        <v>-554777.87999999989</v>
      </c>
      <c r="G19" s="85"/>
      <c r="H19" s="74"/>
      <c r="I19" s="74"/>
      <c r="J19" s="74"/>
      <c r="K19" s="74"/>
    </row>
    <row r="20" spans="1:11">
      <c r="A20" s="47"/>
      <c r="B20" s="41" t="s">
        <v>56</v>
      </c>
      <c r="C20" s="43" t="s">
        <v>54</v>
      </c>
      <c r="D20" s="44" t="s">
        <v>164</v>
      </c>
      <c r="E20" s="45">
        <v>840286.11</v>
      </c>
      <c r="F20" s="46">
        <v>-405115.13</v>
      </c>
      <c r="G20" s="45">
        <v>435170.98</v>
      </c>
      <c r="H20" s="74"/>
      <c r="I20" s="74"/>
      <c r="J20" s="74"/>
      <c r="K20" s="74"/>
    </row>
    <row r="21" spans="1:11">
      <c r="A21" s="47"/>
      <c r="B21" s="41" t="s">
        <v>56</v>
      </c>
      <c r="C21" s="48"/>
      <c r="D21" s="44" t="s">
        <v>165</v>
      </c>
      <c r="E21" s="45">
        <v>435170.98</v>
      </c>
      <c r="F21" s="46">
        <v>-48155.18</v>
      </c>
      <c r="G21" s="45">
        <v>387015.8</v>
      </c>
      <c r="H21" s="74"/>
      <c r="I21" s="74"/>
      <c r="J21" s="74"/>
      <c r="K21" s="74"/>
    </row>
    <row r="22" spans="1:11">
      <c r="A22" s="47"/>
      <c r="B22" s="41" t="s">
        <v>56</v>
      </c>
      <c r="C22" s="49"/>
      <c r="D22" s="44" t="s">
        <v>166</v>
      </c>
      <c r="E22" s="45">
        <v>387015.8</v>
      </c>
      <c r="F22" s="46">
        <v>177376.52</v>
      </c>
      <c r="G22" s="45">
        <v>564392.31999999995</v>
      </c>
      <c r="H22" s="74"/>
      <c r="I22" s="74"/>
      <c r="J22" s="74"/>
      <c r="K22" s="74"/>
    </row>
    <row r="23" spans="1:11">
      <c r="A23" s="50"/>
      <c r="B23" s="83"/>
      <c r="C23" s="84"/>
      <c r="D23" s="83"/>
      <c r="E23" s="85"/>
      <c r="F23" s="86">
        <f>SUM(F20:F22)</f>
        <v>-275893.79000000004</v>
      </c>
      <c r="G23" s="85"/>
      <c r="H23" s="74"/>
      <c r="I23" s="74"/>
      <c r="J23" s="74"/>
      <c r="K23" s="74"/>
    </row>
    <row r="24" spans="1:11">
      <c r="A24" s="87"/>
      <c r="B24" s="88"/>
      <c r="C24" s="87"/>
      <c r="D24" s="87"/>
      <c r="E24" s="89"/>
      <c r="F24" s="90">
        <f>F19+F23</f>
        <v>-830671.66999999993</v>
      </c>
      <c r="G24" s="89"/>
      <c r="H24" s="74"/>
      <c r="I24" s="74"/>
      <c r="J24" s="74"/>
      <c r="K24" s="74"/>
    </row>
    <row r="25" spans="1:11">
      <c r="A25" s="19"/>
      <c r="B25" s="19"/>
      <c r="C25" s="19"/>
      <c r="D25" s="19"/>
      <c r="E25" s="20"/>
      <c r="F25" s="21"/>
      <c r="G25" s="20"/>
      <c r="H25" s="74"/>
      <c r="I25" s="74"/>
      <c r="J25" s="74"/>
      <c r="K25" s="74"/>
    </row>
    <row r="26" spans="1:11">
      <c r="A26" s="74" t="s">
        <v>163</v>
      </c>
      <c r="B26" s="74"/>
      <c r="C26" s="74"/>
      <c r="D26" s="74"/>
      <c r="E26" s="74"/>
      <c r="F26" s="74"/>
      <c r="G26" s="74"/>
      <c r="H26" s="74"/>
      <c r="I26" s="74"/>
      <c r="J26" s="74"/>
      <c r="K26" s="74"/>
    </row>
    <row r="27" spans="1:11">
      <c r="A27" s="74"/>
      <c r="B27" s="74"/>
      <c r="C27" s="74"/>
      <c r="D27" s="74"/>
      <c r="E27" s="74"/>
      <c r="F27" s="74"/>
      <c r="G27" s="74"/>
      <c r="H27" s="74"/>
      <c r="I27" s="18"/>
      <c r="J27" s="74"/>
      <c r="K27" s="74"/>
    </row>
    <row r="28" spans="1:11">
      <c r="A28" s="40" t="s">
        <v>43</v>
      </c>
      <c r="B28" s="74"/>
      <c r="C28" s="173" t="s">
        <v>167</v>
      </c>
      <c r="D28" s="74"/>
      <c r="E28" s="74"/>
      <c r="F28" s="74"/>
      <c r="G28" s="74"/>
      <c r="H28" s="74"/>
      <c r="I28" s="74"/>
      <c r="J28" s="74"/>
      <c r="K28" s="74"/>
    </row>
    <row r="29" spans="1:11">
      <c r="A29" s="74"/>
      <c r="B29" s="74"/>
      <c r="C29" s="74"/>
      <c r="D29" s="74"/>
      <c r="E29" s="74"/>
      <c r="F29" s="74"/>
      <c r="G29" s="74"/>
      <c r="H29" s="74"/>
      <c r="I29" s="74"/>
      <c r="J29" s="74"/>
      <c r="K29" s="74"/>
    </row>
    <row r="30" spans="1:11" ht="26.25">
      <c r="A30" s="91" t="s">
        <v>44</v>
      </c>
      <c r="B30" s="92" t="s">
        <v>45</v>
      </c>
      <c r="C30" s="93" t="s">
        <v>46</v>
      </c>
      <c r="D30" s="91" t="s">
        <v>47</v>
      </c>
      <c r="E30" s="91" t="s">
        <v>48</v>
      </c>
      <c r="F30" s="91" t="s">
        <v>49</v>
      </c>
      <c r="G30" s="91" t="s">
        <v>50</v>
      </c>
      <c r="H30" s="74"/>
      <c r="I30" s="74"/>
      <c r="J30" s="74"/>
      <c r="K30" s="74"/>
    </row>
    <row r="31" spans="1:11">
      <c r="A31" s="42" t="s">
        <v>104</v>
      </c>
      <c r="B31" s="41" t="s">
        <v>105</v>
      </c>
      <c r="C31" s="43" t="s">
        <v>53</v>
      </c>
      <c r="D31" s="44" t="s">
        <v>164</v>
      </c>
      <c r="E31" s="45">
        <v>0</v>
      </c>
      <c r="F31" s="46">
        <v>-2102094.2799999998</v>
      </c>
      <c r="G31" s="45">
        <v>-2102094.2799999998</v>
      </c>
      <c r="H31" s="74"/>
      <c r="I31" s="74"/>
      <c r="J31" s="74"/>
      <c r="K31" s="74"/>
    </row>
    <row r="32" spans="1:11">
      <c r="A32" s="47"/>
      <c r="B32" s="41" t="s">
        <v>105</v>
      </c>
      <c r="C32" s="48"/>
      <c r="D32" s="44" t="s">
        <v>165</v>
      </c>
      <c r="E32" s="45">
        <v>-2102094.2799999998</v>
      </c>
      <c r="F32" s="46">
        <v>-9337.34</v>
      </c>
      <c r="G32" s="45">
        <v>-2111431.62</v>
      </c>
      <c r="H32" s="74"/>
      <c r="I32" s="74"/>
      <c r="J32" s="74"/>
      <c r="K32" s="74"/>
    </row>
    <row r="33" spans="1:11">
      <c r="A33" s="47"/>
      <c r="B33" s="41" t="s">
        <v>105</v>
      </c>
      <c r="C33" s="49"/>
      <c r="D33" s="44" t="s">
        <v>166</v>
      </c>
      <c r="E33" s="45">
        <v>-2111431.62</v>
      </c>
      <c r="F33" s="46">
        <v>-9370.41</v>
      </c>
      <c r="G33" s="45">
        <v>-2120802.0299999998</v>
      </c>
      <c r="H33" s="74"/>
      <c r="I33" s="74"/>
      <c r="J33" s="74"/>
      <c r="K33" s="74"/>
    </row>
    <row r="34" spans="1:11">
      <c r="A34" s="47"/>
      <c r="B34" s="83"/>
      <c r="C34" s="84"/>
      <c r="D34" s="83"/>
      <c r="E34" s="85"/>
      <c r="F34" s="86">
        <f>SUM(F31:F33)</f>
        <v>-2120802.0299999998</v>
      </c>
      <c r="G34" s="85"/>
      <c r="H34" s="74"/>
      <c r="I34" s="74"/>
      <c r="J34" s="74"/>
      <c r="K34" s="74"/>
    </row>
    <row r="35" spans="1:11" s="74" customFormat="1">
      <c r="A35" s="47"/>
      <c r="B35" s="41" t="s">
        <v>105</v>
      </c>
      <c r="C35" s="43" t="s">
        <v>54</v>
      </c>
      <c r="D35" s="44" t="s">
        <v>164</v>
      </c>
      <c r="E35" s="45">
        <v>0</v>
      </c>
      <c r="F35" s="46">
        <v>-1985507.72</v>
      </c>
      <c r="G35" s="45">
        <v>-1985507.72</v>
      </c>
    </row>
    <row r="36" spans="1:11" s="74" customFormat="1">
      <c r="A36" s="47"/>
      <c r="B36" s="41" t="s">
        <v>105</v>
      </c>
      <c r="C36" s="48"/>
      <c r="D36" s="44" t="s">
        <v>165</v>
      </c>
      <c r="E36" s="45">
        <v>-1985507.72</v>
      </c>
      <c r="F36" s="46">
        <v>-13473.23</v>
      </c>
      <c r="G36" s="45">
        <v>-1998980.95</v>
      </c>
    </row>
    <row r="37" spans="1:11" s="74" customFormat="1">
      <c r="A37" s="47"/>
      <c r="B37" s="41" t="s">
        <v>105</v>
      </c>
      <c r="C37" s="49"/>
      <c r="D37" s="44" t="s">
        <v>166</v>
      </c>
      <c r="E37" s="45">
        <v>-1998980.95</v>
      </c>
      <c r="F37" s="46">
        <v>-13520.94</v>
      </c>
      <c r="G37" s="45">
        <v>-2012501.89</v>
      </c>
    </row>
    <row r="38" spans="1:11" s="74" customFormat="1">
      <c r="A38" s="50"/>
      <c r="B38" s="83"/>
      <c r="C38" s="84"/>
      <c r="D38" s="83"/>
      <c r="E38" s="85"/>
      <c r="F38" s="86">
        <f>SUM(F35:F37)</f>
        <v>-2012501.89</v>
      </c>
      <c r="G38" s="85"/>
    </row>
    <row r="39" spans="1:11" s="74" customFormat="1">
      <c r="A39" s="87"/>
      <c r="B39" s="88"/>
      <c r="C39" s="87"/>
      <c r="D39" s="87"/>
      <c r="E39" s="89"/>
      <c r="F39" s="90">
        <f>F34+F38</f>
        <v>-4133303.92</v>
      </c>
      <c r="G39" s="89"/>
    </row>
    <row r="40" spans="1:11" s="74" customFormat="1">
      <c r="A40" s="42" t="s">
        <v>106</v>
      </c>
      <c r="B40" s="41" t="s">
        <v>107</v>
      </c>
      <c r="C40" s="43" t="s">
        <v>53</v>
      </c>
      <c r="D40" s="44" t="s">
        <v>164</v>
      </c>
      <c r="E40" s="45">
        <v>0</v>
      </c>
      <c r="F40" s="46">
        <v>1740227.79</v>
      </c>
      <c r="G40" s="45">
        <v>1740227.79</v>
      </c>
    </row>
    <row r="41" spans="1:11" s="74" customFormat="1">
      <c r="A41" s="47"/>
      <c r="B41" s="41" t="s">
        <v>107</v>
      </c>
      <c r="C41" s="48"/>
      <c r="D41" s="44" t="s">
        <v>165</v>
      </c>
      <c r="E41" s="45">
        <v>1740227.79</v>
      </c>
      <c r="F41" s="46">
        <v>4331.92</v>
      </c>
      <c r="G41" s="45">
        <v>1744559.71</v>
      </c>
    </row>
    <row r="42" spans="1:11" s="74" customFormat="1">
      <c r="A42" s="47"/>
      <c r="B42" s="41" t="s">
        <v>107</v>
      </c>
      <c r="C42" s="49"/>
      <c r="D42" s="44" t="s">
        <v>166</v>
      </c>
      <c r="E42" s="45">
        <v>1744559.71</v>
      </c>
      <c r="F42" s="46">
        <v>4347.26</v>
      </c>
      <c r="G42" s="45">
        <v>1748906.97</v>
      </c>
    </row>
    <row r="43" spans="1:11" s="74" customFormat="1">
      <c r="A43" s="47"/>
      <c r="B43" s="83"/>
      <c r="C43" s="84"/>
      <c r="D43" s="83"/>
      <c r="E43" s="85"/>
      <c r="F43" s="86">
        <f>SUM(F40:F42)</f>
        <v>1748906.97</v>
      </c>
      <c r="G43" s="85"/>
    </row>
    <row r="44" spans="1:11" s="74" customFormat="1" ht="18" customHeight="1">
      <c r="A44" s="47"/>
      <c r="B44" s="41" t="s">
        <v>107</v>
      </c>
      <c r="C44" s="43" t="s">
        <v>54</v>
      </c>
      <c r="D44" s="44" t="s">
        <v>164</v>
      </c>
      <c r="E44" s="45">
        <v>0</v>
      </c>
      <c r="F44" s="46">
        <v>841315.72</v>
      </c>
      <c r="G44" s="45">
        <v>841315.72</v>
      </c>
    </row>
    <row r="45" spans="1:11" s="74" customFormat="1">
      <c r="A45" s="47"/>
      <c r="B45" s="41" t="s">
        <v>107</v>
      </c>
      <c r="C45" s="48"/>
      <c r="D45" s="44" t="s">
        <v>165</v>
      </c>
      <c r="E45" s="45">
        <v>841315.72</v>
      </c>
      <c r="F45" s="46">
        <v>1033.25</v>
      </c>
      <c r="G45" s="45">
        <v>842348.97</v>
      </c>
    </row>
    <row r="46" spans="1:11" s="74" customFormat="1" ht="18" customHeight="1">
      <c r="A46" s="47"/>
      <c r="B46" s="41" t="s">
        <v>107</v>
      </c>
      <c r="C46" s="49"/>
      <c r="D46" s="44" t="s">
        <v>166</v>
      </c>
      <c r="E46" s="45">
        <v>842348.97</v>
      </c>
      <c r="F46" s="46">
        <v>1036.9100000000001</v>
      </c>
      <c r="G46" s="45">
        <v>843385.88</v>
      </c>
    </row>
    <row r="47" spans="1:11" s="74" customFormat="1" ht="18" customHeight="1">
      <c r="A47" s="50"/>
      <c r="B47" s="83"/>
      <c r="C47" s="84"/>
      <c r="D47" s="83"/>
      <c r="E47" s="85"/>
      <c r="F47" s="86">
        <f>SUM(F44:F46)</f>
        <v>843385.88</v>
      </c>
      <c r="G47" s="85"/>
    </row>
    <row r="48" spans="1:11" s="74" customFormat="1" ht="18" customHeight="1">
      <c r="A48" s="87"/>
      <c r="B48" s="88"/>
      <c r="C48" s="87"/>
      <c r="D48" s="87"/>
      <c r="E48" s="89"/>
      <c r="F48" s="90">
        <f>F43+F47</f>
        <v>2592292.85</v>
      </c>
      <c r="G48" s="89"/>
    </row>
    <row r="49" spans="1:11" s="74" customFormat="1" ht="27.6" customHeight="1"/>
    <row r="50" spans="1:11" s="74" customFormat="1">
      <c r="A50" s="74" t="s">
        <v>163</v>
      </c>
      <c r="J50" s="157"/>
      <c r="K50" s="163"/>
    </row>
    <row r="51" spans="1:11" s="74" customFormat="1">
      <c r="J51" s="157"/>
      <c r="K51" s="163"/>
    </row>
    <row r="52" spans="1:11" s="74" customFormat="1">
      <c r="A52" s="40" t="s">
        <v>43</v>
      </c>
      <c r="C52" s="173" t="s">
        <v>134</v>
      </c>
    </row>
    <row r="53" spans="1:11" s="74" customFormat="1">
      <c r="C53" s="174" t="s">
        <v>135</v>
      </c>
    </row>
    <row r="54" spans="1:11" s="74" customFormat="1" ht="25.5">
      <c r="A54" s="208" t="s">
        <v>44</v>
      </c>
      <c r="B54" s="168" t="s">
        <v>45</v>
      </c>
      <c r="C54" s="169" t="s">
        <v>46</v>
      </c>
      <c r="D54" s="170" t="s">
        <v>47</v>
      </c>
      <c r="E54" s="171" t="s">
        <v>48</v>
      </c>
      <c r="F54" s="170" t="s">
        <v>49</v>
      </c>
      <c r="G54" s="170" t="s">
        <v>50</v>
      </c>
    </row>
    <row r="55" spans="1:11" s="74" customFormat="1">
      <c r="A55" s="210" t="s">
        <v>57</v>
      </c>
      <c r="B55" s="41" t="s">
        <v>58</v>
      </c>
      <c r="C55" s="43" t="s">
        <v>53</v>
      </c>
      <c r="D55" s="44" t="s">
        <v>164</v>
      </c>
      <c r="E55" s="45">
        <v>8212539.75</v>
      </c>
      <c r="F55" s="46">
        <v>-1135222.8400000001</v>
      </c>
      <c r="G55" s="45">
        <v>7077316.9100000001</v>
      </c>
    </row>
    <row r="56" spans="1:11" s="74" customFormat="1">
      <c r="A56" s="211"/>
      <c r="B56" s="41" t="s">
        <v>58</v>
      </c>
      <c r="C56" s="48"/>
      <c r="D56" s="44" t="s">
        <v>165</v>
      </c>
      <c r="E56" s="45">
        <v>7077316.9100000001</v>
      </c>
      <c r="F56" s="46">
        <v>-893509.46</v>
      </c>
      <c r="G56" s="45">
        <v>6183807.4500000002</v>
      </c>
    </row>
    <row r="57" spans="1:11" s="74" customFormat="1">
      <c r="A57" s="211"/>
      <c r="B57" s="41" t="s">
        <v>58</v>
      </c>
      <c r="C57" s="49"/>
      <c r="D57" s="44" t="s">
        <v>166</v>
      </c>
      <c r="E57" s="45">
        <v>6183807.4500000002</v>
      </c>
      <c r="F57" s="46">
        <v>-958112.63</v>
      </c>
      <c r="G57" s="45">
        <v>5225694.82</v>
      </c>
    </row>
    <row r="58" spans="1:11">
      <c r="A58" s="211"/>
      <c r="B58" s="83"/>
      <c r="C58" s="83"/>
      <c r="D58" s="83"/>
      <c r="E58" s="85"/>
      <c r="F58" s="86">
        <f>SUM(F55:F57)</f>
        <v>-2986844.93</v>
      </c>
      <c r="G58" s="85"/>
      <c r="H58" s="74"/>
      <c r="I58" s="74"/>
      <c r="J58" s="74"/>
      <c r="K58" s="74"/>
    </row>
    <row r="59" spans="1:11">
      <c r="A59" s="211"/>
      <c r="B59" s="41" t="s">
        <v>58</v>
      </c>
      <c r="C59" s="43" t="s">
        <v>54</v>
      </c>
      <c r="D59" s="44" t="s">
        <v>164</v>
      </c>
      <c r="E59" s="45">
        <v>5237395.21</v>
      </c>
      <c r="F59" s="46">
        <v>-1062441.6299999999</v>
      </c>
      <c r="G59" s="45">
        <v>4174953.58</v>
      </c>
      <c r="H59" s="74"/>
      <c r="I59" s="74"/>
      <c r="J59" s="74"/>
      <c r="K59" s="74"/>
    </row>
    <row r="60" spans="1:11">
      <c r="A60" s="211"/>
      <c r="B60" s="41" t="s">
        <v>58</v>
      </c>
      <c r="C60" s="48"/>
      <c r="D60" s="44" t="s">
        <v>165</v>
      </c>
      <c r="E60" s="45">
        <v>4174953.58</v>
      </c>
      <c r="F60" s="46">
        <v>-955370.3</v>
      </c>
      <c r="G60" s="45">
        <v>3219583.28</v>
      </c>
      <c r="H60" s="74"/>
      <c r="I60" s="74"/>
      <c r="J60" s="74"/>
      <c r="K60" s="74"/>
    </row>
    <row r="61" spans="1:11">
      <c r="A61" s="211"/>
      <c r="B61" s="41" t="s">
        <v>58</v>
      </c>
      <c r="C61" s="49"/>
      <c r="D61" s="44" t="s">
        <v>166</v>
      </c>
      <c r="E61" s="45">
        <v>3219583.28</v>
      </c>
      <c r="F61" s="46">
        <v>-830366.53</v>
      </c>
      <c r="G61" s="45">
        <v>2389216.75</v>
      </c>
      <c r="H61" s="74"/>
      <c r="I61" s="74"/>
      <c r="J61" s="74"/>
      <c r="K61" s="74"/>
    </row>
    <row r="62" spans="1:11">
      <c r="A62" s="212"/>
      <c r="B62" s="83"/>
      <c r="C62" s="83"/>
      <c r="D62" s="83"/>
      <c r="E62" s="85"/>
      <c r="F62" s="86">
        <f>SUM(F59:F61)</f>
        <v>-2848178.46</v>
      </c>
      <c r="G62" s="85"/>
      <c r="H62" s="74"/>
      <c r="I62" s="74"/>
      <c r="J62" s="74"/>
      <c r="K62" s="74"/>
    </row>
    <row r="63" spans="1:11">
      <c r="A63" s="209"/>
      <c r="B63" s="87"/>
      <c r="C63" s="186"/>
      <c r="D63" s="87"/>
      <c r="E63" s="89"/>
      <c r="F63" s="90">
        <f>F58+F62</f>
        <v>-5835023.3900000006</v>
      </c>
      <c r="G63" s="89"/>
      <c r="H63" s="74"/>
      <c r="I63" s="74"/>
      <c r="J63" s="74"/>
      <c r="K63" s="74"/>
    </row>
    <row r="64" spans="1:11" s="74" customFormat="1">
      <c r="A64" s="189"/>
      <c r="B64" s="41" t="s">
        <v>58</v>
      </c>
      <c r="C64" s="214" t="s">
        <v>53</v>
      </c>
      <c r="D64" s="187" t="s">
        <v>164</v>
      </c>
      <c r="E64" s="45">
        <v>689441.81</v>
      </c>
      <c r="F64" s="46">
        <v>-63882.76</v>
      </c>
      <c r="G64" s="45">
        <v>625559.05000000005</v>
      </c>
    </row>
    <row r="65" spans="1:13" s="74" customFormat="1">
      <c r="A65" s="189"/>
      <c r="B65" s="41" t="s">
        <v>58</v>
      </c>
      <c r="C65" s="215"/>
      <c r="D65" s="188" t="s">
        <v>165</v>
      </c>
      <c r="E65" s="45">
        <v>625559.05000000005</v>
      </c>
      <c r="F65" s="46">
        <v>-65279.43</v>
      </c>
      <c r="G65" s="45">
        <v>560279.62</v>
      </c>
    </row>
    <row r="66" spans="1:13" s="74" customFormat="1">
      <c r="A66" s="189"/>
      <c r="B66" s="41" t="s">
        <v>58</v>
      </c>
      <c r="C66" s="216"/>
      <c r="D66" s="188" t="s">
        <v>166</v>
      </c>
      <c r="E66" s="45">
        <v>560279.62</v>
      </c>
      <c r="F66" s="46">
        <v>-61934.79</v>
      </c>
      <c r="G66" s="45">
        <v>498344.83</v>
      </c>
    </row>
    <row r="67" spans="1:13" s="74" customFormat="1">
      <c r="A67" s="189"/>
      <c r="B67" s="83"/>
      <c r="C67" s="213"/>
      <c r="D67" s="83"/>
      <c r="E67" s="85"/>
      <c r="F67" s="86"/>
      <c r="G67" s="85"/>
    </row>
    <row r="68" spans="1:13" s="35" customFormat="1">
      <c r="A68" s="47" t="s">
        <v>127</v>
      </c>
      <c r="B68" s="41" t="s">
        <v>107</v>
      </c>
      <c r="C68" s="43" t="s">
        <v>54</v>
      </c>
      <c r="D68" s="44" t="s">
        <v>164</v>
      </c>
      <c r="E68" s="45">
        <v>1588928.48</v>
      </c>
      <c r="F68" s="46">
        <v>-255171.96</v>
      </c>
      <c r="G68" s="45">
        <v>1333756.52</v>
      </c>
      <c r="H68" s="74"/>
      <c r="I68" s="74"/>
      <c r="J68" s="74"/>
      <c r="K68" s="74"/>
    </row>
    <row r="69" spans="1:13" s="35" customFormat="1">
      <c r="A69" s="47"/>
      <c r="B69" s="41" t="s">
        <v>107</v>
      </c>
      <c r="C69" s="48"/>
      <c r="D69" s="44" t="s">
        <v>165</v>
      </c>
      <c r="E69" s="45">
        <v>1333756.52</v>
      </c>
      <c r="F69" s="46">
        <v>-280615.39</v>
      </c>
      <c r="G69" s="45">
        <v>1053141.1299999999</v>
      </c>
      <c r="H69" s="74"/>
      <c r="I69" s="74"/>
      <c r="J69" s="74"/>
      <c r="K69" s="74"/>
    </row>
    <row r="70" spans="1:13">
      <c r="A70" s="47"/>
      <c r="B70" s="41" t="s">
        <v>107</v>
      </c>
      <c r="C70" s="49"/>
      <c r="D70" s="44" t="s">
        <v>166</v>
      </c>
      <c r="E70" s="45">
        <v>1053141.1299999999</v>
      </c>
      <c r="F70" s="46">
        <v>-218130.34</v>
      </c>
      <c r="G70" s="45">
        <v>835010.79</v>
      </c>
      <c r="H70" s="74"/>
      <c r="I70" s="74"/>
      <c r="J70" s="74"/>
      <c r="K70" s="74"/>
    </row>
    <row r="71" spans="1:13">
      <c r="A71" s="50"/>
      <c r="B71" s="83"/>
      <c r="C71" s="83"/>
      <c r="D71" s="83"/>
      <c r="E71" s="85"/>
      <c r="F71" s="86">
        <f>SUM(F68:F70)</f>
        <v>-753917.69</v>
      </c>
      <c r="G71" s="85"/>
      <c r="H71" s="74"/>
      <c r="I71" s="74"/>
      <c r="J71" s="74"/>
      <c r="K71" s="74"/>
      <c r="L71" s="23"/>
      <c r="M71" s="23"/>
    </row>
    <row r="72" spans="1:13">
      <c r="A72" s="87"/>
      <c r="B72" s="87"/>
      <c r="C72" s="87"/>
      <c r="D72" s="87"/>
      <c r="E72" s="89"/>
      <c r="F72" s="90">
        <f>F71</f>
        <v>-753917.69</v>
      </c>
      <c r="G72" s="89"/>
      <c r="H72" s="74"/>
      <c r="I72" s="74"/>
      <c r="J72" s="74"/>
      <c r="K72" s="74"/>
      <c r="L72" s="23"/>
      <c r="M72" s="23"/>
    </row>
    <row r="73" spans="1:13">
      <c r="A73" s="40" t="s">
        <v>43</v>
      </c>
      <c r="B73" s="39"/>
      <c r="C73" s="51" t="s">
        <v>136</v>
      </c>
      <c r="D73" s="39"/>
      <c r="E73" s="39"/>
      <c r="F73" s="39"/>
      <c r="G73" s="39"/>
      <c r="H73" s="74"/>
      <c r="I73" s="74"/>
      <c r="J73" s="74"/>
      <c r="K73" s="74"/>
      <c r="L73" s="23"/>
      <c r="M73" s="23"/>
    </row>
    <row r="74" spans="1:13" ht="25.5">
      <c r="A74" s="167" t="s">
        <v>44</v>
      </c>
      <c r="B74" s="168" t="s">
        <v>45</v>
      </c>
      <c r="C74" s="169" t="s">
        <v>46</v>
      </c>
      <c r="D74" s="170" t="s">
        <v>47</v>
      </c>
      <c r="E74" s="171" t="s">
        <v>48</v>
      </c>
      <c r="F74" s="170" t="s">
        <v>49</v>
      </c>
      <c r="G74" s="170" t="s">
        <v>50</v>
      </c>
      <c r="H74" s="74"/>
      <c r="I74" s="74"/>
      <c r="J74" s="74"/>
      <c r="K74" s="74"/>
    </row>
    <row r="75" spans="1:13">
      <c r="A75" s="42" t="s">
        <v>132</v>
      </c>
      <c r="B75" s="41" t="s">
        <v>133</v>
      </c>
      <c r="C75" s="43" t="s">
        <v>53</v>
      </c>
      <c r="D75" s="44" t="s">
        <v>164</v>
      </c>
      <c r="E75" s="45">
        <v>0</v>
      </c>
      <c r="F75" s="45">
        <v>0</v>
      </c>
      <c r="G75" s="45">
        <v>0</v>
      </c>
      <c r="H75" s="74"/>
      <c r="I75" s="74"/>
      <c r="J75" s="74"/>
      <c r="K75" s="74"/>
    </row>
    <row r="76" spans="1:13" ht="15.75">
      <c r="A76" s="47"/>
      <c r="B76" s="41" t="s">
        <v>133</v>
      </c>
      <c r="C76" s="48"/>
      <c r="D76" s="44" t="s">
        <v>165</v>
      </c>
      <c r="E76" s="45">
        <v>0</v>
      </c>
      <c r="F76" s="45">
        <v>0</v>
      </c>
      <c r="G76" s="45">
        <v>0</v>
      </c>
      <c r="H76" s="172"/>
      <c r="I76" s="74"/>
      <c r="J76" s="74"/>
      <c r="K76" s="74"/>
    </row>
    <row r="77" spans="1:13" s="35" customFormat="1" ht="15.75">
      <c r="A77" s="47"/>
      <c r="B77" s="41" t="s">
        <v>133</v>
      </c>
      <c r="C77" s="49"/>
      <c r="D77" s="44" t="s">
        <v>166</v>
      </c>
      <c r="E77" s="45">
        <v>0</v>
      </c>
      <c r="F77" s="45">
        <v>0</v>
      </c>
      <c r="G77" s="45">
        <v>0</v>
      </c>
      <c r="H77" s="172"/>
      <c r="I77" s="74"/>
      <c r="J77" s="74"/>
      <c r="K77" s="74"/>
    </row>
    <row r="78" spans="1:13">
      <c r="A78" s="50"/>
      <c r="B78" s="83"/>
      <c r="C78" s="83"/>
      <c r="D78" s="83"/>
      <c r="E78" s="85"/>
      <c r="F78" s="86">
        <f>SUM(F75:F77)</f>
        <v>0</v>
      </c>
      <c r="G78" s="85"/>
      <c r="H78" s="74"/>
      <c r="I78" s="74"/>
      <c r="J78" s="74"/>
      <c r="K78" s="74"/>
    </row>
    <row r="79" spans="1:13">
      <c r="A79" s="87"/>
      <c r="B79" s="87"/>
      <c r="C79" s="87"/>
      <c r="D79" s="87"/>
      <c r="E79" s="89"/>
      <c r="F79" s="90">
        <f>F78</f>
        <v>0</v>
      </c>
      <c r="G79" s="89"/>
      <c r="H79" s="74"/>
      <c r="I79" s="74"/>
      <c r="J79" s="74"/>
      <c r="K79" s="74"/>
    </row>
    <row r="80" spans="1:13">
      <c r="A80" s="74"/>
      <c r="B80" s="74"/>
      <c r="C80" s="74"/>
      <c r="D80" s="74"/>
      <c r="E80" s="74"/>
      <c r="F80" s="74"/>
      <c r="G80" s="74"/>
      <c r="H80" s="74"/>
      <c r="I80" s="74"/>
      <c r="J80" s="74"/>
      <c r="K80" s="74"/>
    </row>
    <row r="81" spans="1:11">
      <c r="A81" s="74" t="s">
        <v>163</v>
      </c>
      <c r="B81" s="74"/>
      <c r="C81" s="74"/>
      <c r="D81" s="74"/>
      <c r="E81" s="74"/>
      <c r="F81" s="74"/>
      <c r="G81" s="74"/>
      <c r="H81" s="74"/>
      <c r="I81" s="74"/>
      <c r="J81" s="74"/>
      <c r="K81" s="74"/>
    </row>
    <row r="82" spans="1:11">
      <c r="A82" s="74"/>
      <c r="B82" s="74"/>
      <c r="C82" s="74"/>
      <c r="D82" s="74"/>
      <c r="E82" s="74"/>
      <c r="F82" s="74"/>
      <c r="G82" s="74"/>
      <c r="H82" s="74"/>
      <c r="I82" s="74"/>
      <c r="J82" s="74"/>
      <c r="K82" s="74"/>
    </row>
    <row r="83" spans="1:11">
      <c r="A83" s="40" t="s">
        <v>43</v>
      </c>
      <c r="B83" s="39"/>
      <c r="C83" s="173" t="s">
        <v>130</v>
      </c>
      <c r="D83" s="39"/>
      <c r="E83" s="39"/>
      <c r="F83" s="39"/>
      <c r="G83" s="39"/>
      <c r="H83" s="74"/>
      <c r="I83" s="74"/>
      <c r="J83" s="74"/>
      <c r="K83" s="74"/>
    </row>
    <row r="84" spans="1:11">
      <c r="A84" s="39"/>
      <c r="B84" s="39"/>
      <c r="C84" s="39"/>
      <c r="D84" s="39"/>
      <c r="E84" s="39"/>
      <c r="F84" s="39"/>
      <c r="G84" s="39"/>
      <c r="H84" s="74"/>
      <c r="I84" s="74"/>
      <c r="J84" s="74"/>
      <c r="K84" s="74"/>
    </row>
    <row r="85" spans="1:11" s="74" customFormat="1" ht="26.25">
      <c r="A85" s="91" t="s">
        <v>44</v>
      </c>
      <c r="B85" s="92" t="s">
        <v>45</v>
      </c>
      <c r="C85" s="93" t="s">
        <v>46</v>
      </c>
      <c r="D85" s="91" t="s">
        <v>47</v>
      </c>
      <c r="E85" s="91" t="s">
        <v>48</v>
      </c>
      <c r="F85" s="91" t="s">
        <v>49</v>
      </c>
      <c r="G85" s="91" t="s">
        <v>50</v>
      </c>
      <c r="J85" s="22" t="s">
        <v>62</v>
      </c>
    </row>
    <row r="86" spans="1:11">
      <c r="A86" s="42" t="s">
        <v>59</v>
      </c>
      <c r="B86" s="41" t="s">
        <v>60</v>
      </c>
      <c r="C86" s="43" t="s">
        <v>53</v>
      </c>
      <c r="D86" s="44" t="s">
        <v>164</v>
      </c>
      <c r="E86" s="45">
        <v>-1794471.55</v>
      </c>
      <c r="F86" s="46">
        <v>59663.48</v>
      </c>
      <c r="G86" s="45">
        <v>-1734808.07</v>
      </c>
      <c r="H86" s="74"/>
      <c r="I86" s="74"/>
      <c r="J86" s="31">
        <f>(G7+G16+G31+G40+G55+G75+G64+G176)*-0.21</f>
        <v>-1734808.1184</v>
      </c>
      <c r="K86" s="23">
        <f>G86-J86</f>
        <v>4.8399999970570207E-2</v>
      </c>
    </row>
    <row r="87" spans="1:11">
      <c r="A87" s="47"/>
      <c r="B87" s="41" t="s">
        <v>60</v>
      </c>
      <c r="C87" s="48"/>
      <c r="D87" s="44" t="s">
        <v>165</v>
      </c>
      <c r="E87" s="45">
        <v>-1734808.07</v>
      </c>
      <c r="F87" s="46">
        <v>-250975.53</v>
      </c>
      <c r="G87" s="45">
        <v>-1985783.6</v>
      </c>
      <c r="H87" s="74"/>
      <c r="I87" s="74"/>
      <c r="J87" s="31">
        <f>(G8+G17+G32+G41+G56+G76+G65+G177)*-0.21</f>
        <v>-1985783.6480999999</v>
      </c>
      <c r="K87" s="23">
        <f>G87-J87</f>
        <v>4.8099999781697989E-2</v>
      </c>
    </row>
    <row r="88" spans="1:11">
      <c r="A88" s="47"/>
      <c r="B88" s="41" t="s">
        <v>60</v>
      </c>
      <c r="C88" s="49"/>
      <c r="D88" s="44" t="s">
        <v>166</v>
      </c>
      <c r="E88" s="45">
        <v>-1985783.6</v>
      </c>
      <c r="F88" s="46">
        <v>41622.870000000003</v>
      </c>
      <c r="G88" s="45">
        <v>-1944160.73</v>
      </c>
      <c r="H88" s="193"/>
      <c r="I88" s="74"/>
      <c r="J88" s="31">
        <f>(G9+G18+G33+G42+G57+G77+G66+G178)*-0.21</f>
        <v>-1944160.7808000001</v>
      </c>
      <c r="K88" s="23">
        <f>G88-J88</f>
        <v>5.080000008456409E-2</v>
      </c>
    </row>
    <row r="89" spans="1:11" s="74" customFormat="1">
      <c r="A89" s="47"/>
      <c r="B89" s="83"/>
      <c r="C89" s="84"/>
      <c r="D89" s="83"/>
      <c r="E89" s="85"/>
      <c r="F89" s="86">
        <f>SUM(F86:F88)</f>
        <v>-149689.18</v>
      </c>
      <c r="G89" s="85"/>
    </row>
    <row r="90" spans="1:11">
      <c r="A90" s="47"/>
      <c r="B90" s="41" t="s">
        <v>60</v>
      </c>
      <c r="C90" s="43" t="s">
        <v>54</v>
      </c>
      <c r="D90" s="44" t="s">
        <v>164</v>
      </c>
      <c r="E90" s="45">
        <v>-1195850.99</v>
      </c>
      <c r="F90" s="46">
        <v>73853.100000000006</v>
      </c>
      <c r="G90" s="45">
        <v>-1121997.8899999999</v>
      </c>
      <c r="H90" s="74"/>
      <c r="I90" s="74"/>
      <c r="J90" s="31">
        <f>(G11+G20+G35+G44+G59+G68+G180+G185)*-0.21</f>
        <v>-1121997.7251000002</v>
      </c>
      <c r="K90" s="23">
        <f>G90-J90</f>
        <v>-0.16489999974146485</v>
      </c>
    </row>
    <row r="91" spans="1:11">
      <c r="A91" s="47"/>
      <c r="B91" s="41" t="s">
        <v>60</v>
      </c>
      <c r="C91" s="48"/>
      <c r="D91" s="44" t="s">
        <v>165</v>
      </c>
      <c r="E91" s="45">
        <v>-1121997.8899999999</v>
      </c>
      <c r="F91" s="46">
        <v>211800.52</v>
      </c>
      <c r="G91" s="45">
        <v>-910197.37</v>
      </c>
      <c r="H91" s="74"/>
      <c r="I91" s="74"/>
      <c r="J91" s="31">
        <f>(G12+G21+G36+G45+G60+G69+G181+G186)*-0.21</f>
        <v>-910197.20189999987</v>
      </c>
      <c r="K91" s="23">
        <f>G91-J91</f>
        <v>-0.16810000012628734</v>
      </c>
    </row>
    <row r="92" spans="1:11">
      <c r="A92" s="47"/>
      <c r="B92" s="41" t="s">
        <v>60</v>
      </c>
      <c r="C92" s="49"/>
      <c r="D92" s="44" t="s">
        <v>166</v>
      </c>
      <c r="E92" s="45">
        <v>-910197.37</v>
      </c>
      <c r="F92" s="46">
        <v>346558.77</v>
      </c>
      <c r="G92" s="45">
        <v>-563638.6</v>
      </c>
      <c r="H92" s="193"/>
      <c r="I92" s="74"/>
      <c r="J92" s="31">
        <f>(G13+G22+G37+G46+G61+G70+G182+G187)*-0.21</f>
        <v>-563638.43130000005</v>
      </c>
      <c r="K92" s="23">
        <f>G92-J92</f>
        <v>-0.16869999992195517</v>
      </c>
    </row>
    <row r="93" spans="1:11" s="74" customFormat="1">
      <c r="A93" s="50"/>
      <c r="B93" s="83"/>
      <c r="C93" s="84"/>
      <c r="D93" s="83"/>
      <c r="E93" s="85"/>
      <c r="F93" s="86">
        <f>SUM(F90:F92)</f>
        <v>632212.39</v>
      </c>
      <c r="G93" s="85"/>
    </row>
    <row r="94" spans="1:11">
      <c r="A94" s="87"/>
      <c r="B94" s="88"/>
      <c r="C94" s="87"/>
      <c r="D94" s="87"/>
      <c r="E94" s="89"/>
      <c r="F94" s="90">
        <f>F89+F93</f>
        <v>482523.21</v>
      </c>
      <c r="G94" s="89"/>
      <c r="H94" s="74"/>
      <c r="I94" s="74"/>
      <c r="J94" s="74"/>
      <c r="K94" s="74"/>
    </row>
    <row r="95" spans="1:11" s="74" customFormat="1">
      <c r="A95" s="163"/>
      <c r="B95" s="166"/>
      <c r="C95" s="163"/>
      <c r="D95" s="163"/>
      <c r="E95" s="164"/>
      <c r="F95" s="165"/>
      <c r="G95" s="164"/>
    </row>
    <row r="96" spans="1:11" s="74" customFormat="1">
      <c r="A96" s="163"/>
      <c r="B96" s="166"/>
      <c r="C96" s="163"/>
      <c r="D96" s="163"/>
      <c r="E96" s="164"/>
      <c r="F96" s="165"/>
      <c r="G96" s="164"/>
    </row>
    <row r="97" spans="1:12" s="74" customFormat="1" ht="15.75">
      <c r="A97" s="218" t="s">
        <v>61</v>
      </c>
      <c r="B97" s="218"/>
      <c r="C97" s="218"/>
      <c r="D97" s="218"/>
      <c r="E97" s="218"/>
      <c r="F97" s="218"/>
      <c r="G97" s="218"/>
    </row>
    <row r="98" spans="1:12" s="74" customFormat="1" ht="15.75">
      <c r="A98" s="172"/>
      <c r="B98" s="172"/>
      <c r="C98" s="172"/>
      <c r="D98" s="172"/>
      <c r="E98" s="172"/>
      <c r="F98" s="172"/>
      <c r="G98" s="172"/>
    </row>
    <row r="99" spans="1:12" s="74" customFormat="1">
      <c r="A99" s="74" t="s">
        <v>163</v>
      </c>
      <c r="B99" s="39"/>
      <c r="C99" s="39"/>
      <c r="D99" s="39"/>
      <c r="E99" s="39"/>
      <c r="F99" s="39"/>
      <c r="G99" s="39"/>
    </row>
    <row r="100" spans="1:12" s="74" customFormat="1">
      <c r="A100" s="39"/>
      <c r="B100" s="39"/>
      <c r="C100" s="39"/>
      <c r="D100" s="39"/>
      <c r="E100" s="39"/>
      <c r="F100" s="39"/>
      <c r="G100" s="39"/>
    </row>
    <row r="101" spans="1:12" s="74" customFormat="1">
      <c r="A101" s="40" t="s">
        <v>43</v>
      </c>
      <c r="B101" s="39"/>
      <c r="C101" s="18" t="s">
        <v>129</v>
      </c>
      <c r="D101" s="39"/>
      <c r="E101" s="39"/>
      <c r="F101" s="39"/>
      <c r="G101" s="39"/>
    </row>
    <row r="102" spans="1:12" s="74" customFormat="1">
      <c r="A102" s="39"/>
      <c r="B102" s="39"/>
      <c r="C102" s="39"/>
      <c r="D102" s="39"/>
      <c r="E102" s="39"/>
      <c r="F102" s="39"/>
      <c r="G102" s="39"/>
    </row>
    <row r="103" spans="1:12" s="74" customFormat="1" ht="26.25">
      <c r="A103" s="91" t="s">
        <v>44</v>
      </c>
      <c r="B103" s="92" t="s">
        <v>45</v>
      </c>
      <c r="C103" s="93" t="s">
        <v>46</v>
      </c>
      <c r="D103" s="91" t="s">
        <v>47</v>
      </c>
      <c r="E103" s="91" t="s">
        <v>48</v>
      </c>
      <c r="F103" s="91" t="s">
        <v>49</v>
      </c>
      <c r="G103" s="91" t="s">
        <v>50</v>
      </c>
      <c r="K103" s="200"/>
    </row>
    <row r="104" spans="1:12" s="74" customFormat="1">
      <c r="A104" s="42" t="s">
        <v>65</v>
      </c>
      <c r="B104" s="41" t="s">
        <v>66</v>
      </c>
      <c r="C104" s="43" t="s">
        <v>53</v>
      </c>
      <c r="D104" s="44" t="s">
        <v>164</v>
      </c>
      <c r="E104" s="45">
        <v>0</v>
      </c>
      <c r="F104" s="46">
        <v>-340574.75</v>
      </c>
      <c r="G104" s="45">
        <v>-340574.75</v>
      </c>
      <c r="I104" s="51"/>
      <c r="K104" s="199"/>
    </row>
    <row r="105" spans="1:12" s="74" customFormat="1">
      <c r="A105" s="47"/>
      <c r="B105" s="41" t="s">
        <v>66</v>
      </c>
      <c r="C105" s="48"/>
      <c r="D105" s="44" t="s">
        <v>165</v>
      </c>
      <c r="E105" s="45">
        <v>-340574.75</v>
      </c>
      <c r="F105" s="46">
        <v>-1733954.66</v>
      </c>
      <c r="G105" s="45">
        <v>-2074529.41</v>
      </c>
    </row>
    <row r="106" spans="1:12" s="74" customFormat="1">
      <c r="A106" s="47"/>
      <c r="B106" s="41" t="s">
        <v>66</v>
      </c>
      <c r="C106" s="49"/>
      <c r="D106" s="44" t="s">
        <v>166</v>
      </c>
      <c r="E106" s="45">
        <v>-2074529.41</v>
      </c>
      <c r="F106" s="46">
        <v>-636727.1</v>
      </c>
      <c r="G106" s="45">
        <v>-2711256.51</v>
      </c>
    </row>
    <row r="107" spans="1:12" s="74" customFormat="1">
      <c r="A107" s="50"/>
      <c r="B107" s="87"/>
      <c r="C107" s="94"/>
      <c r="D107" s="87"/>
      <c r="E107" s="89"/>
      <c r="F107" s="90">
        <f>SUM(F104:F106)</f>
        <v>-2711256.51</v>
      </c>
      <c r="G107" s="89"/>
    </row>
    <row r="108" spans="1:12">
      <c r="A108" s="42" t="s">
        <v>67</v>
      </c>
      <c r="B108" s="41" t="s">
        <v>68</v>
      </c>
      <c r="C108" s="43" t="s">
        <v>53</v>
      </c>
      <c r="D108" s="44" t="s">
        <v>164</v>
      </c>
      <c r="E108" s="45">
        <v>0</v>
      </c>
      <c r="F108" s="46">
        <v>-577780.56999999995</v>
      </c>
      <c r="G108" s="45">
        <v>-577780.56999999995</v>
      </c>
      <c r="H108" s="74"/>
      <c r="I108" s="74"/>
      <c r="J108" s="74"/>
      <c r="K108" s="199"/>
      <c r="L108" s="199"/>
    </row>
    <row r="109" spans="1:12">
      <c r="A109" s="47"/>
      <c r="B109" s="41" t="s">
        <v>68</v>
      </c>
      <c r="C109" s="48"/>
      <c r="D109" s="44" t="s">
        <v>165</v>
      </c>
      <c r="E109" s="45">
        <v>-577780.56999999995</v>
      </c>
      <c r="F109" s="46">
        <v>-417892.39</v>
      </c>
      <c r="G109" s="45">
        <v>-995672.96</v>
      </c>
      <c r="H109" s="74"/>
      <c r="I109" s="74"/>
      <c r="J109" s="74"/>
      <c r="K109" s="74"/>
    </row>
    <row r="110" spans="1:12" s="74" customFormat="1">
      <c r="A110" s="47"/>
      <c r="B110" s="41" t="s">
        <v>68</v>
      </c>
      <c r="C110" s="49"/>
      <c r="D110" s="44" t="s">
        <v>166</v>
      </c>
      <c r="E110" s="45">
        <v>-995672.96</v>
      </c>
      <c r="F110" s="46">
        <v>-177792.53</v>
      </c>
      <c r="G110" s="45">
        <v>-1173465.49</v>
      </c>
    </row>
    <row r="111" spans="1:12">
      <c r="A111" s="50"/>
      <c r="B111" s="87"/>
      <c r="C111" s="94"/>
      <c r="D111" s="87"/>
      <c r="E111" s="89"/>
      <c r="F111" s="90">
        <f>SUM(F108:F110)</f>
        <v>-1173465.49</v>
      </c>
      <c r="G111" s="89"/>
      <c r="H111" s="74"/>
      <c r="I111" s="74"/>
      <c r="J111" s="74"/>
      <c r="K111" s="74"/>
    </row>
    <row r="112" spans="1:12">
      <c r="A112" s="42" t="s">
        <v>69</v>
      </c>
      <c r="B112" s="41" t="s">
        <v>66</v>
      </c>
      <c r="C112" s="43" t="s">
        <v>54</v>
      </c>
      <c r="D112" s="44" t="s">
        <v>164</v>
      </c>
      <c r="E112" s="45">
        <v>0</v>
      </c>
      <c r="F112" s="46">
        <v>-542197.09</v>
      </c>
      <c r="G112" s="45">
        <v>-542197.09</v>
      </c>
      <c r="H112" s="74"/>
      <c r="I112" s="74"/>
      <c r="J112" s="74"/>
      <c r="K112" s="74"/>
    </row>
    <row r="113" spans="1:11">
      <c r="A113" s="47"/>
      <c r="B113" s="41" t="s">
        <v>66</v>
      </c>
      <c r="C113" s="48"/>
      <c r="D113" s="44" t="s">
        <v>165</v>
      </c>
      <c r="E113" s="45">
        <v>-542197.09</v>
      </c>
      <c r="F113" s="46">
        <v>-284585.75</v>
      </c>
      <c r="G113" s="45">
        <v>-826782.84</v>
      </c>
      <c r="H113" s="74"/>
      <c r="I113" s="74"/>
      <c r="J113" s="74"/>
      <c r="K113" s="74"/>
    </row>
    <row r="114" spans="1:11">
      <c r="A114" s="47"/>
      <c r="B114" s="41" t="s">
        <v>66</v>
      </c>
      <c r="C114" s="49"/>
      <c r="D114" s="44" t="s">
        <v>166</v>
      </c>
      <c r="E114" s="45">
        <v>-826782.84</v>
      </c>
      <c r="F114" s="46">
        <v>767263.43</v>
      </c>
      <c r="G114" s="45">
        <v>-59519.41</v>
      </c>
      <c r="H114" s="74"/>
      <c r="I114" s="74"/>
      <c r="J114" s="74"/>
      <c r="K114" s="74"/>
    </row>
    <row r="115" spans="1:11">
      <c r="A115" s="50"/>
      <c r="B115" s="87"/>
      <c r="C115" s="94"/>
      <c r="D115" s="87"/>
      <c r="E115" s="89"/>
      <c r="F115" s="90">
        <f>SUM(F112:F114)</f>
        <v>-59519.409999999916</v>
      </c>
      <c r="G115" s="89"/>
      <c r="H115" s="74"/>
      <c r="I115" s="74"/>
      <c r="J115" s="74"/>
      <c r="K115" s="74"/>
    </row>
    <row r="116" spans="1:11">
      <c r="A116" s="42" t="s">
        <v>70</v>
      </c>
      <c r="B116" s="41" t="s">
        <v>68</v>
      </c>
      <c r="C116" s="43" t="s">
        <v>54</v>
      </c>
      <c r="D116" s="44" t="s">
        <v>164</v>
      </c>
      <c r="E116" s="45">
        <v>0</v>
      </c>
      <c r="F116" s="46">
        <v>-434401.73</v>
      </c>
      <c r="G116" s="45">
        <v>-434401.73</v>
      </c>
      <c r="H116" s="74"/>
      <c r="I116" s="74"/>
      <c r="J116" s="74"/>
      <c r="K116" s="74"/>
    </row>
    <row r="117" spans="1:11">
      <c r="A117" s="47"/>
      <c r="B117" s="41" t="s">
        <v>68</v>
      </c>
      <c r="C117" s="48"/>
      <c r="D117" s="44" t="s">
        <v>165</v>
      </c>
      <c r="E117" s="45">
        <v>-434401.73</v>
      </c>
      <c r="F117" s="46">
        <v>49990.09</v>
      </c>
      <c r="G117" s="45">
        <v>-384411.64</v>
      </c>
      <c r="H117" s="74"/>
      <c r="I117" s="74"/>
      <c r="J117" s="74"/>
      <c r="K117" s="74"/>
    </row>
    <row r="118" spans="1:11">
      <c r="A118" s="47"/>
      <c r="B118" s="41" t="s">
        <v>68</v>
      </c>
      <c r="C118" s="49"/>
      <c r="D118" s="44" t="s">
        <v>166</v>
      </c>
      <c r="E118" s="45">
        <v>-384411.64</v>
      </c>
      <c r="F118" s="46">
        <v>-176077.59</v>
      </c>
      <c r="G118" s="45">
        <v>-560489.23</v>
      </c>
      <c r="H118" s="74"/>
      <c r="I118" s="74"/>
      <c r="J118" s="74"/>
      <c r="K118" s="74"/>
    </row>
    <row r="119" spans="1:11">
      <c r="A119" s="50"/>
      <c r="B119" s="87"/>
      <c r="C119" s="94"/>
      <c r="D119" s="87"/>
      <c r="E119" s="89"/>
      <c r="F119" s="90">
        <f>SUM(F116:F118)</f>
        <v>-560489.23</v>
      </c>
      <c r="G119" s="89"/>
      <c r="H119" s="74"/>
      <c r="I119" s="74"/>
      <c r="J119" s="74"/>
      <c r="K119" s="74"/>
    </row>
    <row r="120" spans="1:11">
      <c r="A120" s="74"/>
      <c r="B120" s="74"/>
      <c r="C120" s="74"/>
      <c r="D120" s="74"/>
      <c r="E120" s="74"/>
      <c r="F120" s="74"/>
      <c r="G120" s="74"/>
      <c r="H120" s="74"/>
      <c r="I120" s="74"/>
      <c r="J120" s="74"/>
      <c r="K120" s="74"/>
    </row>
    <row r="121" spans="1:11">
      <c r="A121" s="74"/>
      <c r="B121" s="74"/>
      <c r="C121" s="74"/>
      <c r="D121" s="74"/>
      <c r="E121" s="74"/>
      <c r="F121" s="74"/>
      <c r="G121" s="74"/>
      <c r="H121" s="74"/>
      <c r="I121" s="74"/>
      <c r="J121" s="74"/>
      <c r="K121" s="74"/>
    </row>
    <row r="122" spans="1:11">
      <c r="A122" s="74" t="s">
        <v>163</v>
      </c>
      <c r="B122" s="74"/>
      <c r="C122" s="74"/>
      <c r="D122" s="74"/>
      <c r="E122" s="74"/>
      <c r="F122" s="74"/>
      <c r="G122" s="74"/>
      <c r="H122" s="74"/>
      <c r="I122" s="74"/>
      <c r="J122" s="74"/>
      <c r="K122" s="74"/>
    </row>
    <row r="123" spans="1:11">
      <c r="A123" s="74"/>
      <c r="B123" s="74"/>
      <c r="C123" s="74"/>
      <c r="D123" s="74"/>
      <c r="E123" s="74"/>
      <c r="F123" s="74"/>
      <c r="G123" s="74"/>
      <c r="H123" s="74"/>
      <c r="I123" s="74"/>
      <c r="J123" s="74"/>
      <c r="K123" s="74"/>
    </row>
    <row r="124" spans="1:11">
      <c r="A124" s="40" t="s">
        <v>43</v>
      </c>
      <c r="B124" s="74"/>
      <c r="C124" s="175" t="s">
        <v>137</v>
      </c>
      <c r="D124" s="74"/>
      <c r="E124" s="74"/>
      <c r="F124" s="74"/>
      <c r="G124" s="74"/>
      <c r="H124" s="74"/>
      <c r="I124" s="74"/>
      <c r="J124" s="74"/>
      <c r="K124" s="74"/>
    </row>
    <row r="125" spans="1:11">
      <c r="A125" s="74"/>
      <c r="B125" s="74"/>
      <c r="C125" s="74"/>
      <c r="D125" s="74"/>
      <c r="E125" s="74"/>
      <c r="F125" s="74"/>
      <c r="G125" s="74"/>
      <c r="H125" s="74"/>
      <c r="I125" s="74"/>
      <c r="J125" s="74"/>
      <c r="K125" s="74"/>
    </row>
    <row r="126" spans="1:11" ht="26.25">
      <c r="A126" s="217" t="s">
        <v>44</v>
      </c>
      <c r="B126" s="92" t="s">
        <v>45</v>
      </c>
      <c r="C126" s="93" t="s">
        <v>46</v>
      </c>
      <c r="D126" s="91" t="s">
        <v>47</v>
      </c>
      <c r="E126" s="91" t="s">
        <v>48</v>
      </c>
      <c r="F126" s="91" t="s">
        <v>49</v>
      </c>
      <c r="G126" s="91" t="s">
        <v>50</v>
      </c>
      <c r="H126" s="74"/>
      <c r="I126" s="74"/>
      <c r="J126" s="74"/>
      <c r="K126" s="74"/>
    </row>
    <row r="127" spans="1:11">
      <c r="A127" s="210" t="s">
        <v>138</v>
      </c>
      <c r="B127" s="177" t="s">
        <v>139</v>
      </c>
      <c r="C127" s="43" t="s">
        <v>53</v>
      </c>
      <c r="D127" s="44" t="s">
        <v>164</v>
      </c>
      <c r="E127" s="45">
        <v>0</v>
      </c>
      <c r="F127" s="46">
        <v>1162250.77</v>
      </c>
      <c r="G127" s="45">
        <v>1162250.77</v>
      </c>
      <c r="H127" s="74"/>
      <c r="I127" s="74"/>
      <c r="J127" s="74"/>
      <c r="K127" s="74"/>
    </row>
    <row r="128" spans="1:11">
      <c r="A128" s="211"/>
      <c r="B128" s="177" t="s">
        <v>139</v>
      </c>
      <c r="C128" s="48"/>
      <c r="D128" s="44" t="s">
        <v>165</v>
      </c>
      <c r="E128" s="45">
        <v>1162250.77</v>
      </c>
      <c r="F128" s="46">
        <v>916951.19</v>
      </c>
      <c r="G128" s="45">
        <v>2079201.96</v>
      </c>
      <c r="H128" s="74"/>
      <c r="I128" s="74"/>
      <c r="J128" s="74"/>
      <c r="K128" s="74"/>
    </row>
    <row r="129" spans="1:11" s="74" customFormat="1">
      <c r="A129" s="211"/>
      <c r="B129" s="177" t="s">
        <v>139</v>
      </c>
      <c r="C129" s="49"/>
      <c r="D129" s="44" t="s">
        <v>166</v>
      </c>
      <c r="E129" s="45">
        <v>2079201.96</v>
      </c>
      <c r="F129" s="46">
        <v>978281.24</v>
      </c>
      <c r="G129" s="45">
        <v>3057483.2</v>
      </c>
    </row>
    <row r="130" spans="1:11">
      <c r="A130" s="212"/>
      <c r="B130" s="87"/>
      <c r="C130" s="94"/>
      <c r="D130" s="87"/>
      <c r="E130" s="89"/>
      <c r="F130" s="90">
        <f>SUM(F127:F129)</f>
        <v>3057483.2</v>
      </c>
      <c r="G130" s="89"/>
      <c r="H130" s="74"/>
      <c r="I130" s="74"/>
      <c r="J130" s="74"/>
      <c r="K130" s="74"/>
    </row>
    <row r="131" spans="1:11">
      <c r="A131" s="210" t="s">
        <v>140</v>
      </c>
      <c r="B131" s="177" t="s">
        <v>141</v>
      </c>
      <c r="C131" s="43" t="s">
        <v>53</v>
      </c>
      <c r="D131" s="44" t="s">
        <v>164</v>
      </c>
      <c r="E131" s="45">
        <v>0</v>
      </c>
      <c r="F131" s="46">
        <v>66207.289999999994</v>
      </c>
      <c r="G131" s="45">
        <v>66207.289999999994</v>
      </c>
      <c r="H131" s="74"/>
      <c r="I131" s="74"/>
      <c r="J131" s="74"/>
      <c r="K131" s="74"/>
    </row>
    <row r="132" spans="1:11">
      <c r="A132" s="211"/>
      <c r="B132" s="177" t="s">
        <v>141</v>
      </c>
      <c r="C132" s="48"/>
      <c r="D132" s="44" t="s">
        <v>165</v>
      </c>
      <c r="E132" s="45">
        <v>66207.289999999994</v>
      </c>
      <c r="F132" s="46">
        <v>67375.64</v>
      </c>
      <c r="G132" s="45">
        <v>133582.93</v>
      </c>
      <c r="H132" s="74"/>
      <c r="I132" s="74"/>
      <c r="J132" s="74"/>
      <c r="K132" s="74"/>
    </row>
    <row r="133" spans="1:11" s="74" customFormat="1">
      <c r="A133" s="211"/>
      <c r="B133" s="177" t="s">
        <v>141</v>
      </c>
      <c r="C133" s="49"/>
      <c r="D133" s="44" t="s">
        <v>166</v>
      </c>
      <c r="E133" s="45">
        <v>133582.93</v>
      </c>
      <c r="F133" s="46">
        <v>63806.12</v>
      </c>
      <c r="G133" s="45">
        <v>197389.05</v>
      </c>
    </row>
    <row r="134" spans="1:11">
      <c r="A134" s="212"/>
      <c r="B134" s="87"/>
      <c r="C134" s="94"/>
      <c r="D134" s="87"/>
      <c r="E134" s="89"/>
      <c r="F134" s="90">
        <f>SUM(F131:F133)</f>
        <v>197389.05</v>
      </c>
      <c r="G134" s="89"/>
      <c r="H134" s="74"/>
      <c r="I134" s="74"/>
      <c r="J134" s="74"/>
      <c r="K134" s="74"/>
    </row>
    <row r="135" spans="1:11">
      <c r="A135" s="210" t="s">
        <v>142</v>
      </c>
      <c r="B135" s="177" t="s">
        <v>139</v>
      </c>
      <c r="C135" s="43" t="s">
        <v>54</v>
      </c>
      <c r="D135" s="44" t="s">
        <v>164</v>
      </c>
      <c r="E135" s="45">
        <v>0</v>
      </c>
      <c r="F135" s="46">
        <v>1079079.8700000001</v>
      </c>
      <c r="G135" s="45">
        <v>1079079.8700000001</v>
      </c>
      <c r="H135" s="74"/>
      <c r="I135" s="74"/>
      <c r="J135" s="74"/>
      <c r="K135" s="74"/>
    </row>
    <row r="136" spans="1:11">
      <c r="A136" s="211"/>
      <c r="B136" s="177" t="s">
        <v>139</v>
      </c>
      <c r="C136" s="48"/>
      <c r="D136" s="44" t="s">
        <v>165</v>
      </c>
      <c r="E136" s="45">
        <v>1079079.8700000001</v>
      </c>
      <c r="F136" s="46">
        <v>968441.65</v>
      </c>
      <c r="G136" s="45">
        <v>2047521.52</v>
      </c>
      <c r="H136" s="74"/>
      <c r="I136" s="74"/>
      <c r="J136" s="74"/>
      <c r="K136" s="74"/>
    </row>
    <row r="137" spans="1:11" s="74" customFormat="1">
      <c r="A137" s="211"/>
      <c r="B137" s="177" t="s">
        <v>139</v>
      </c>
      <c r="C137" s="49"/>
      <c r="D137" s="44" t="s">
        <v>166</v>
      </c>
      <c r="E137" s="45">
        <v>2047521.52</v>
      </c>
      <c r="F137" s="46">
        <v>840281.22</v>
      </c>
      <c r="G137" s="45">
        <v>2887802.74</v>
      </c>
    </row>
    <row r="138" spans="1:11">
      <c r="A138" s="212"/>
      <c r="B138" s="87"/>
      <c r="C138" s="94"/>
      <c r="D138" s="87"/>
      <c r="E138" s="89"/>
      <c r="F138" s="90">
        <f>SUM(F135:F137)</f>
        <v>2887802.74</v>
      </c>
      <c r="G138" s="89"/>
      <c r="H138" s="74"/>
      <c r="I138" s="74"/>
      <c r="J138" s="74"/>
      <c r="K138" s="74"/>
    </row>
    <row r="139" spans="1:11">
      <c r="A139" s="210" t="s">
        <v>143</v>
      </c>
      <c r="B139" s="177" t="s">
        <v>141</v>
      </c>
      <c r="C139" s="43" t="s">
        <v>54</v>
      </c>
      <c r="D139" s="44" t="s">
        <v>164</v>
      </c>
      <c r="E139" s="45">
        <v>0</v>
      </c>
      <c r="F139" s="46">
        <v>260338.4</v>
      </c>
      <c r="G139" s="45">
        <v>260338.4</v>
      </c>
      <c r="H139" s="74"/>
      <c r="I139" s="74"/>
      <c r="J139" s="74"/>
      <c r="K139" s="74"/>
    </row>
    <row r="140" spans="1:11">
      <c r="A140" s="211"/>
      <c r="B140" s="177" t="s">
        <v>141</v>
      </c>
      <c r="C140" s="48"/>
      <c r="D140" s="44" t="s">
        <v>165</v>
      </c>
      <c r="E140" s="45">
        <v>260338.4</v>
      </c>
      <c r="F140" s="46">
        <v>284834.71999999997</v>
      </c>
      <c r="G140" s="45">
        <v>545173.12</v>
      </c>
      <c r="H140" s="74"/>
      <c r="I140" s="74"/>
      <c r="J140" s="74"/>
      <c r="K140" s="74"/>
    </row>
    <row r="141" spans="1:11" s="74" customFormat="1">
      <c r="A141" s="211"/>
      <c r="B141" s="177" t="s">
        <v>141</v>
      </c>
      <c r="C141" s="49"/>
      <c r="D141" s="44" t="s">
        <v>166</v>
      </c>
      <c r="E141" s="45">
        <v>545173.12</v>
      </c>
      <c r="F141" s="46">
        <v>221468.03</v>
      </c>
      <c r="G141" s="45">
        <v>766641.15</v>
      </c>
    </row>
    <row r="142" spans="1:11">
      <c r="A142" s="212"/>
      <c r="B142" s="87"/>
      <c r="C142" s="94"/>
      <c r="D142" s="87"/>
      <c r="E142" s="89"/>
      <c r="F142" s="90">
        <f>SUM(F139:F141)</f>
        <v>766641.15</v>
      </c>
      <c r="G142" s="89"/>
      <c r="H142" s="74"/>
      <c r="I142" s="74"/>
      <c r="J142" s="74"/>
      <c r="K142" s="74"/>
    </row>
    <row r="143" spans="1:11">
      <c r="H143" s="74"/>
      <c r="I143" s="74"/>
      <c r="J143" s="74"/>
      <c r="K143" s="74"/>
    </row>
    <row r="144" spans="1:11">
      <c r="A144" s="74"/>
      <c r="B144" s="74"/>
      <c r="C144" s="74"/>
      <c r="D144" s="74"/>
      <c r="E144" s="74"/>
      <c r="F144" s="74"/>
      <c r="G144" s="74"/>
      <c r="H144" s="74"/>
      <c r="I144" s="74"/>
      <c r="J144" s="74"/>
      <c r="K144" s="74"/>
    </row>
    <row r="145" spans="1:11">
      <c r="A145" s="74" t="s">
        <v>163</v>
      </c>
      <c r="B145" s="39"/>
      <c r="C145" s="39"/>
      <c r="D145" s="39"/>
      <c r="E145" s="39"/>
      <c r="F145" s="39"/>
      <c r="G145" s="39"/>
      <c r="H145" s="74"/>
      <c r="I145" s="74"/>
      <c r="J145" s="74"/>
      <c r="K145" s="74"/>
    </row>
    <row r="146" spans="1:11">
      <c r="A146" s="39"/>
      <c r="B146" s="39"/>
      <c r="C146" s="39"/>
      <c r="D146" s="39"/>
      <c r="E146" s="39"/>
      <c r="F146" s="39"/>
      <c r="G146" s="39"/>
      <c r="H146" s="74"/>
      <c r="I146" s="74"/>
      <c r="J146" s="74"/>
      <c r="K146" s="74"/>
    </row>
    <row r="147" spans="1:11" s="74" customFormat="1">
      <c r="A147" s="40" t="s">
        <v>43</v>
      </c>
      <c r="B147" s="39"/>
      <c r="C147" s="176" t="s">
        <v>131</v>
      </c>
      <c r="D147" s="39"/>
      <c r="E147" s="39"/>
      <c r="F147" s="39"/>
      <c r="G147" s="39"/>
    </row>
    <row r="148" spans="1:11" s="74" customFormat="1">
      <c r="A148" s="39"/>
      <c r="B148" s="39"/>
      <c r="C148" s="39"/>
      <c r="D148" s="39"/>
      <c r="E148" s="39"/>
      <c r="F148" s="39"/>
      <c r="G148" s="39"/>
    </row>
    <row r="149" spans="1:11" s="74" customFormat="1" ht="26.25">
      <c r="A149" s="91" t="s">
        <v>44</v>
      </c>
      <c r="B149" s="92" t="s">
        <v>45</v>
      </c>
      <c r="C149" s="93" t="s">
        <v>46</v>
      </c>
      <c r="D149" s="91" t="s">
        <v>47</v>
      </c>
      <c r="E149" s="91" t="s">
        <v>48</v>
      </c>
      <c r="F149" s="91" t="s">
        <v>49</v>
      </c>
      <c r="G149" s="91" t="s">
        <v>50</v>
      </c>
    </row>
    <row r="150" spans="1:11" s="74" customFormat="1" ht="15.75">
      <c r="A150" s="42" t="s">
        <v>71</v>
      </c>
      <c r="B150" s="41" t="s">
        <v>72</v>
      </c>
      <c r="C150" s="43" t="s">
        <v>53</v>
      </c>
      <c r="D150" s="44" t="s">
        <v>164</v>
      </c>
      <c r="E150" s="45">
        <v>0</v>
      </c>
      <c r="F150" s="46">
        <v>-35295.339999999997</v>
      </c>
      <c r="G150" s="45">
        <v>-35295.339999999997</v>
      </c>
      <c r="H150" s="172"/>
    </row>
    <row r="151" spans="1:11">
      <c r="A151" s="47"/>
      <c r="B151" s="41" t="s">
        <v>72</v>
      </c>
      <c r="C151" s="48"/>
      <c r="D151" s="44" t="s">
        <v>165</v>
      </c>
      <c r="E151" s="45">
        <v>-35295.339999999997</v>
      </c>
      <c r="F151" s="46">
        <v>-36938.69</v>
      </c>
      <c r="G151" s="45">
        <v>-72234.03</v>
      </c>
      <c r="H151" s="74"/>
      <c r="I151" s="74"/>
      <c r="J151" s="74"/>
      <c r="K151" s="74"/>
    </row>
    <row r="152" spans="1:11">
      <c r="A152" s="47"/>
      <c r="B152" s="41" t="s">
        <v>72</v>
      </c>
      <c r="C152" s="49"/>
      <c r="D152" s="44" t="s">
        <v>166</v>
      </c>
      <c r="E152" s="45">
        <v>-72234.03</v>
      </c>
      <c r="F152" s="46">
        <v>-38734.01</v>
      </c>
      <c r="G152" s="45">
        <v>-110968.04</v>
      </c>
      <c r="H152" s="74"/>
      <c r="I152" s="74"/>
      <c r="J152" s="74"/>
      <c r="K152" s="74"/>
    </row>
    <row r="153" spans="1:11">
      <c r="A153" s="47"/>
      <c r="B153" s="83"/>
      <c r="C153" s="84"/>
      <c r="D153" s="83"/>
      <c r="E153" s="85"/>
      <c r="F153" s="86">
        <f>SUM(F150:F152)</f>
        <v>-110968.04000000001</v>
      </c>
      <c r="G153" s="85"/>
      <c r="H153" s="74"/>
      <c r="I153" s="74"/>
      <c r="J153" s="74"/>
      <c r="K153" s="74"/>
    </row>
    <row r="154" spans="1:11">
      <c r="A154" s="47"/>
      <c r="B154" s="41" t="s">
        <v>72</v>
      </c>
      <c r="C154" s="43" t="s">
        <v>54</v>
      </c>
      <c r="D154" s="44" t="s">
        <v>164</v>
      </c>
      <c r="E154" s="45">
        <v>0</v>
      </c>
      <c r="F154" s="46">
        <v>-24563.68</v>
      </c>
      <c r="G154" s="45">
        <v>-24563.68</v>
      </c>
      <c r="H154" s="74"/>
      <c r="I154" s="74"/>
      <c r="J154" s="74"/>
      <c r="K154" s="74"/>
    </row>
    <row r="155" spans="1:11">
      <c r="A155" s="47"/>
      <c r="B155" s="41" t="s">
        <v>72</v>
      </c>
      <c r="C155" s="48"/>
      <c r="D155" s="44" t="s">
        <v>165</v>
      </c>
      <c r="E155" s="45">
        <v>-24563.68</v>
      </c>
      <c r="F155" s="46">
        <v>-23580.02</v>
      </c>
      <c r="G155" s="45">
        <v>-48143.7</v>
      </c>
      <c r="H155" s="74"/>
      <c r="I155" s="74"/>
      <c r="J155" s="74"/>
      <c r="K155" s="74"/>
    </row>
    <row r="156" spans="1:11" s="74" customFormat="1">
      <c r="A156" s="47"/>
      <c r="B156" s="41" t="s">
        <v>72</v>
      </c>
      <c r="C156" s="49"/>
      <c r="D156" s="44" t="s">
        <v>166</v>
      </c>
      <c r="E156" s="45">
        <v>-48143.7</v>
      </c>
      <c r="F156" s="46">
        <v>-16176.17</v>
      </c>
      <c r="G156" s="45">
        <v>-64319.87</v>
      </c>
    </row>
    <row r="157" spans="1:11" s="74" customFormat="1">
      <c r="A157" s="50"/>
      <c r="B157" s="83"/>
      <c r="C157" s="84"/>
      <c r="D157" s="83"/>
      <c r="E157" s="85"/>
      <c r="F157" s="86">
        <f>SUM(F154:F156)</f>
        <v>-64319.869999999995</v>
      </c>
      <c r="G157" s="85"/>
    </row>
    <row r="158" spans="1:11">
      <c r="A158" s="87"/>
      <c r="B158" s="94"/>
      <c r="C158" s="87"/>
      <c r="D158" s="87"/>
      <c r="E158" s="89"/>
      <c r="F158" s="90">
        <f>F153+F157</f>
        <v>-175287.91</v>
      </c>
      <c r="G158" s="89"/>
      <c r="H158" s="74"/>
      <c r="I158" s="74"/>
      <c r="J158" s="74"/>
      <c r="K158" s="74"/>
    </row>
    <row r="159" spans="1:11">
      <c r="A159" s="42" t="s">
        <v>73</v>
      </c>
      <c r="B159" s="41" t="s">
        <v>74</v>
      </c>
      <c r="C159" s="43" t="s">
        <v>53</v>
      </c>
      <c r="D159" s="44" t="s">
        <v>164</v>
      </c>
      <c r="E159" s="45">
        <v>0</v>
      </c>
      <c r="F159" s="46">
        <v>9304.39</v>
      </c>
      <c r="G159" s="45">
        <v>9304.39</v>
      </c>
      <c r="H159" s="74"/>
      <c r="I159" s="74"/>
      <c r="J159" s="74"/>
      <c r="K159" s="74"/>
    </row>
    <row r="160" spans="1:11" s="74" customFormat="1">
      <c r="A160" s="47"/>
      <c r="B160" s="41" t="s">
        <v>74</v>
      </c>
      <c r="C160" s="48"/>
      <c r="D160" s="44" t="s">
        <v>165</v>
      </c>
      <c r="E160" s="45">
        <v>9304.39</v>
      </c>
      <c r="F160" s="46">
        <v>9337.34</v>
      </c>
      <c r="G160" s="45">
        <v>18641.73</v>
      </c>
    </row>
    <row r="161" spans="1:11" s="74" customFormat="1">
      <c r="A161" s="47"/>
      <c r="B161" s="41" t="s">
        <v>74</v>
      </c>
      <c r="C161" s="49"/>
      <c r="D161" s="44" t="s">
        <v>166</v>
      </c>
      <c r="E161" s="45">
        <v>18641.73</v>
      </c>
      <c r="F161" s="46">
        <v>9370.41</v>
      </c>
      <c r="G161" s="45">
        <v>28012.14</v>
      </c>
    </row>
    <row r="162" spans="1:11" s="74" customFormat="1">
      <c r="A162" s="47"/>
      <c r="B162" s="83"/>
      <c r="C162" s="84"/>
      <c r="D162" s="83"/>
      <c r="E162" s="85"/>
      <c r="F162" s="86">
        <f>SUM(F159:F161)</f>
        <v>28012.14</v>
      </c>
      <c r="G162" s="85"/>
    </row>
    <row r="163" spans="1:11">
      <c r="A163" s="47"/>
      <c r="B163" s="41" t="s">
        <v>74</v>
      </c>
      <c r="C163" s="43" t="s">
        <v>54</v>
      </c>
      <c r="D163" s="44" t="s">
        <v>164</v>
      </c>
      <c r="E163" s="45">
        <v>0</v>
      </c>
      <c r="F163" s="46">
        <v>13425.68</v>
      </c>
      <c r="G163" s="45">
        <v>13425.68</v>
      </c>
      <c r="H163" s="74"/>
      <c r="I163" s="74"/>
      <c r="J163" s="74"/>
      <c r="K163" s="74"/>
    </row>
    <row r="164" spans="1:11" s="74" customFormat="1">
      <c r="A164" s="47"/>
      <c r="B164" s="41" t="s">
        <v>74</v>
      </c>
      <c r="C164" s="48"/>
      <c r="D164" s="44" t="s">
        <v>165</v>
      </c>
      <c r="E164" s="45">
        <v>13425.68</v>
      </c>
      <c r="F164" s="46">
        <v>13473.23</v>
      </c>
      <c r="G164" s="45">
        <v>26898.91</v>
      </c>
    </row>
    <row r="165" spans="1:11">
      <c r="A165" s="47"/>
      <c r="B165" s="41" t="s">
        <v>74</v>
      </c>
      <c r="C165" s="49"/>
      <c r="D165" s="44" t="s">
        <v>166</v>
      </c>
      <c r="E165" s="45">
        <v>26898.91</v>
      </c>
      <c r="F165" s="46">
        <v>13520.94</v>
      </c>
      <c r="G165" s="45">
        <v>40419.85</v>
      </c>
      <c r="H165" s="74"/>
      <c r="I165" s="74"/>
      <c r="J165" s="74"/>
      <c r="K165" s="74"/>
    </row>
    <row r="166" spans="1:11">
      <c r="A166" s="50"/>
      <c r="B166" s="83"/>
      <c r="C166" s="84"/>
      <c r="D166" s="83"/>
      <c r="E166" s="85"/>
      <c r="F166" s="86">
        <f>SUM(F163:F165)</f>
        <v>40419.85</v>
      </c>
      <c r="G166" s="85"/>
      <c r="H166" s="74"/>
      <c r="I166" s="74"/>
      <c r="J166" s="74"/>
      <c r="K166" s="74"/>
    </row>
    <row r="167" spans="1:11">
      <c r="A167" s="87"/>
      <c r="B167" s="94"/>
      <c r="C167" s="87"/>
      <c r="D167" s="87"/>
      <c r="E167" s="89"/>
      <c r="F167" s="90">
        <f>F162+F166</f>
        <v>68431.989999999991</v>
      </c>
      <c r="G167" s="89"/>
      <c r="H167" s="74"/>
      <c r="I167" s="74"/>
      <c r="J167" s="74"/>
      <c r="K167" s="74"/>
    </row>
    <row r="168" spans="1:11">
      <c r="A168" s="95"/>
      <c r="B168" s="95"/>
      <c r="C168" s="95"/>
      <c r="D168" s="95"/>
      <c r="E168" s="96"/>
      <c r="F168" s="97">
        <f>F158+F167</f>
        <v>-106855.92000000001</v>
      </c>
      <c r="G168" s="96"/>
      <c r="H168" s="74"/>
      <c r="I168" s="74"/>
      <c r="J168" s="74"/>
      <c r="K168" s="74"/>
    </row>
    <row r="169" spans="1:11">
      <c r="A169" s="163"/>
      <c r="B169" s="163"/>
      <c r="C169" s="163"/>
      <c r="D169" s="163"/>
      <c r="E169" s="164"/>
      <c r="F169" s="165"/>
      <c r="G169" s="164"/>
      <c r="H169" s="74"/>
      <c r="I169" s="74"/>
      <c r="J169" s="74"/>
      <c r="K169" s="74"/>
    </row>
    <row r="170" spans="1:11" ht="15.75">
      <c r="A170" s="218" t="s">
        <v>154</v>
      </c>
      <c r="B170" s="218"/>
      <c r="C170" s="218"/>
      <c r="D170" s="218"/>
      <c r="E170" s="218"/>
      <c r="F170" s="218"/>
      <c r="G170" s="218"/>
      <c r="H170" s="74"/>
      <c r="I170" s="74"/>
      <c r="J170" s="74"/>
      <c r="K170" s="74"/>
    </row>
    <row r="171" spans="1:11" ht="8.4499999999999993" customHeight="1">
      <c r="A171" s="172"/>
      <c r="B171" s="172"/>
      <c r="C171" s="172"/>
      <c r="D171" s="172"/>
      <c r="E171" s="172"/>
      <c r="F171" s="172"/>
      <c r="G171" s="172"/>
      <c r="H171" s="74"/>
      <c r="I171" s="74"/>
      <c r="J171" s="74"/>
      <c r="K171" s="74"/>
    </row>
    <row r="172" spans="1:11">
      <c r="A172" s="74" t="s">
        <v>163</v>
      </c>
      <c r="B172" s="74"/>
      <c r="C172" s="74"/>
      <c r="D172" s="74"/>
      <c r="E172" s="74"/>
      <c r="F172" s="74"/>
      <c r="G172" s="74"/>
      <c r="H172" s="74"/>
      <c r="I172" s="74"/>
      <c r="J172" s="74"/>
      <c r="K172" s="74"/>
    </row>
    <row r="173" spans="1:11">
      <c r="A173" s="40" t="s">
        <v>43</v>
      </c>
      <c r="B173" s="74"/>
      <c r="C173" s="74"/>
      <c r="D173" s="74"/>
      <c r="E173" s="74"/>
      <c r="F173" s="74"/>
      <c r="G173" s="74"/>
      <c r="H173" s="74"/>
      <c r="I173" s="74"/>
      <c r="J173" s="74"/>
      <c r="K173" s="74"/>
    </row>
    <row r="174" spans="1:11">
      <c r="A174" s="74"/>
      <c r="B174" s="74"/>
      <c r="C174" s="74"/>
      <c r="D174" s="74"/>
      <c r="E174" s="74"/>
      <c r="F174" s="74"/>
      <c r="G174" s="74"/>
      <c r="H174" s="74"/>
      <c r="I174" s="74"/>
      <c r="J174" s="74"/>
      <c r="K174" s="74"/>
    </row>
    <row r="175" spans="1:11" ht="26.25">
      <c r="A175" s="91" t="s">
        <v>44</v>
      </c>
      <c r="B175" s="92" t="s">
        <v>45</v>
      </c>
      <c r="C175" s="93" t="s">
        <v>46</v>
      </c>
      <c r="D175" s="91" t="s">
        <v>47</v>
      </c>
      <c r="E175" s="91" t="s">
        <v>48</v>
      </c>
      <c r="F175" s="91" t="s">
        <v>49</v>
      </c>
      <c r="G175" s="91" t="s">
        <v>50</v>
      </c>
      <c r="H175" s="74"/>
      <c r="I175" s="74"/>
      <c r="J175" s="74"/>
      <c r="K175" s="74"/>
    </row>
    <row r="176" spans="1:11">
      <c r="A176" s="42" t="s">
        <v>88</v>
      </c>
      <c r="B176" s="41" t="s">
        <v>89</v>
      </c>
      <c r="C176" s="43" t="s">
        <v>53</v>
      </c>
      <c r="D176" s="44" t="s">
        <v>164</v>
      </c>
      <c r="E176" s="45">
        <v>0</v>
      </c>
      <c r="F176" s="46">
        <v>0</v>
      </c>
      <c r="G176" s="45">
        <v>0</v>
      </c>
      <c r="H176" s="74"/>
      <c r="I176" s="74"/>
      <c r="J176" s="74"/>
      <c r="K176" s="74"/>
    </row>
    <row r="177" spans="1:11">
      <c r="A177" s="47"/>
      <c r="B177" s="41" t="s">
        <v>89</v>
      </c>
      <c r="C177" s="48"/>
      <c r="D177" s="44" t="s">
        <v>165</v>
      </c>
      <c r="E177" s="45">
        <v>0</v>
      </c>
      <c r="F177" s="46">
        <v>0</v>
      </c>
      <c r="G177" s="45">
        <v>0</v>
      </c>
      <c r="H177" s="74"/>
      <c r="I177" s="74"/>
      <c r="J177" s="74"/>
      <c r="K177" s="74"/>
    </row>
    <row r="178" spans="1:11">
      <c r="A178" s="47"/>
      <c r="B178" s="41" t="s">
        <v>89</v>
      </c>
      <c r="C178" s="49"/>
      <c r="D178" s="44" t="s">
        <v>166</v>
      </c>
      <c r="E178" s="45">
        <v>0</v>
      </c>
      <c r="F178" s="46">
        <v>0</v>
      </c>
      <c r="G178" s="45">
        <v>0</v>
      </c>
      <c r="H178" s="74"/>
      <c r="I178" s="74"/>
      <c r="J178" s="74"/>
      <c r="K178" s="74"/>
    </row>
    <row r="179" spans="1:11">
      <c r="A179" s="47"/>
      <c r="B179" s="83"/>
      <c r="C179" s="84"/>
      <c r="D179" s="83"/>
      <c r="E179" s="85"/>
      <c r="F179" s="86">
        <f>SUM(F176:F178)</f>
        <v>0</v>
      </c>
      <c r="G179" s="85"/>
      <c r="H179" s="74"/>
      <c r="I179" s="74"/>
      <c r="J179" s="74"/>
      <c r="K179" s="74"/>
    </row>
    <row r="180" spans="1:11">
      <c r="A180" s="47"/>
      <c r="B180" s="41" t="s">
        <v>89</v>
      </c>
      <c r="C180" s="43" t="s">
        <v>54</v>
      </c>
      <c r="D180" s="44" t="s">
        <v>164</v>
      </c>
      <c r="E180" s="45">
        <v>0</v>
      </c>
      <c r="F180" s="46">
        <v>0</v>
      </c>
      <c r="G180" s="45">
        <v>0</v>
      </c>
      <c r="H180" s="74"/>
      <c r="I180" s="74"/>
      <c r="J180" s="74"/>
      <c r="K180" s="74"/>
    </row>
    <row r="181" spans="1:11">
      <c r="A181" s="47"/>
      <c r="B181" s="41" t="s">
        <v>89</v>
      </c>
      <c r="C181" s="48"/>
      <c r="D181" s="44" t="s">
        <v>165</v>
      </c>
      <c r="E181" s="45">
        <v>0</v>
      </c>
      <c r="F181" s="46">
        <v>0</v>
      </c>
      <c r="G181" s="45">
        <v>0</v>
      </c>
      <c r="H181" s="74"/>
      <c r="I181" s="74"/>
      <c r="J181" s="74"/>
      <c r="K181" s="74"/>
    </row>
    <row r="182" spans="1:11">
      <c r="A182" s="47"/>
      <c r="B182" s="41" t="s">
        <v>89</v>
      </c>
      <c r="C182" s="49"/>
      <c r="D182" s="44" t="s">
        <v>166</v>
      </c>
      <c r="E182" s="45">
        <v>0</v>
      </c>
      <c r="F182" s="46">
        <v>0</v>
      </c>
      <c r="G182" s="45">
        <v>0</v>
      </c>
      <c r="H182" s="74"/>
      <c r="I182" s="74"/>
      <c r="J182" s="74"/>
      <c r="K182" s="74"/>
    </row>
    <row r="183" spans="1:11">
      <c r="A183" s="50"/>
      <c r="B183" s="83"/>
      <c r="C183" s="84"/>
      <c r="D183" s="83"/>
      <c r="E183" s="85"/>
      <c r="F183" s="86">
        <f>SUM(F180:F182)</f>
        <v>0</v>
      </c>
      <c r="G183" s="85"/>
      <c r="H183" s="74"/>
      <c r="I183" s="74"/>
      <c r="J183" s="74"/>
      <c r="K183" s="74"/>
    </row>
    <row r="184" spans="1:11">
      <c r="A184" s="87"/>
      <c r="B184" s="94" t="s">
        <v>148</v>
      </c>
      <c r="C184" s="87"/>
      <c r="D184" s="87"/>
      <c r="E184" s="89"/>
      <c r="F184" s="90">
        <f>F179+F183</f>
        <v>0</v>
      </c>
      <c r="G184" s="89"/>
      <c r="H184" s="74"/>
      <c r="I184" s="74"/>
      <c r="J184" s="74"/>
      <c r="K184" s="74"/>
    </row>
    <row r="185" spans="1:11">
      <c r="A185" s="42" t="s">
        <v>145</v>
      </c>
      <c r="B185" s="41" t="s">
        <v>146</v>
      </c>
      <c r="C185" s="43" t="s">
        <v>54</v>
      </c>
      <c r="D185" s="44" t="s">
        <v>164</v>
      </c>
      <c r="E185" s="45">
        <v>0</v>
      </c>
      <c r="F185" s="46">
        <v>0</v>
      </c>
      <c r="G185" s="45">
        <v>0</v>
      </c>
      <c r="H185" s="74"/>
      <c r="I185" s="74"/>
      <c r="J185" s="74"/>
      <c r="K185" s="74"/>
    </row>
    <row r="186" spans="1:11">
      <c r="A186" s="47"/>
      <c r="B186" s="41" t="s">
        <v>146</v>
      </c>
      <c r="C186" s="48"/>
      <c r="D186" s="44" t="s">
        <v>165</v>
      </c>
      <c r="E186" s="45">
        <v>0</v>
      </c>
      <c r="F186" s="46">
        <v>0</v>
      </c>
      <c r="G186" s="45">
        <v>0</v>
      </c>
      <c r="H186" s="74"/>
      <c r="I186" s="74"/>
      <c r="J186" s="74"/>
      <c r="K186" s="74"/>
    </row>
    <row r="187" spans="1:11">
      <c r="A187" s="47"/>
      <c r="B187" s="41" t="s">
        <v>146</v>
      </c>
      <c r="C187" s="49"/>
      <c r="D187" s="44" t="s">
        <v>166</v>
      </c>
      <c r="E187" s="45">
        <v>0</v>
      </c>
      <c r="F187" s="46">
        <v>0</v>
      </c>
      <c r="G187" s="45">
        <v>0</v>
      </c>
      <c r="H187" s="74"/>
      <c r="I187" s="74"/>
      <c r="J187" s="74"/>
      <c r="K187" s="74"/>
    </row>
    <row r="188" spans="1:11">
      <c r="A188" s="47"/>
      <c r="B188" s="83"/>
      <c r="C188" s="84"/>
      <c r="D188" s="83"/>
      <c r="E188" s="85"/>
      <c r="F188" s="86">
        <f>SUM(F185:F187)</f>
        <v>0</v>
      </c>
      <c r="G188" s="85"/>
      <c r="H188" s="74"/>
      <c r="I188" s="74"/>
      <c r="J188" s="74"/>
      <c r="K188" s="74"/>
    </row>
    <row r="189" spans="1:11">
      <c r="A189" s="186"/>
      <c r="B189" s="94" t="s">
        <v>149</v>
      </c>
      <c r="C189" s="87"/>
      <c r="D189" s="87"/>
      <c r="E189" s="89"/>
      <c r="F189" s="90">
        <f>F188</f>
        <v>0</v>
      </c>
      <c r="G189" s="89"/>
      <c r="H189" s="74"/>
      <c r="I189" s="74"/>
      <c r="J189" s="74"/>
      <c r="K189" s="74"/>
    </row>
    <row r="190" spans="1:11">
      <c r="A190" s="210" t="s">
        <v>147</v>
      </c>
      <c r="B190" s="41" t="s">
        <v>91</v>
      </c>
      <c r="C190" s="43" t="s">
        <v>53</v>
      </c>
      <c r="D190" s="44" t="s">
        <v>164</v>
      </c>
      <c r="E190" s="45">
        <v>0</v>
      </c>
      <c r="F190" s="46">
        <v>0</v>
      </c>
      <c r="G190" s="45">
        <v>0</v>
      </c>
      <c r="H190" s="74"/>
      <c r="I190" s="74"/>
      <c r="J190" s="74"/>
      <c r="K190" s="74"/>
    </row>
    <row r="191" spans="1:11">
      <c r="A191" s="211"/>
      <c r="B191" s="41" t="s">
        <v>91</v>
      </c>
      <c r="C191" s="48"/>
      <c r="D191" s="44" t="s">
        <v>165</v>
      </c>
      <c r="E191" s="45">
        <v>0</v>
      </c>
      <c r="F191" s="46">
        <v>0</v>
      </c>
      <c r="G191" s="45">
        <v>0</v>
      </c>
      <c r="H191" s="74"/>
      <c r="I191" s="74"/>
      <c r="J191" s="74"/>
      <c r="K191" s="74"/>
    </row>
    <row r="192" spans="1:11">
      <c r="A192" s="211"/>
      <c r="B192" s="41" t="s">
        <v>91</v>
      </c>
      <c r="C192" s="49"/>
      <c r="D192" s="44" t="s">
        <v>166</v>
      </c>
      <c r="E192" s="45">
        <v>0</v>
      </c>
      <c r="F192" s="46">
        <v>0</v>
      </c>
      <c r="G192" s="45">
        <v>0</v>
      </c>
    </row>
    <row r="193" spans="1:7">
      <c r="A193" s="212"/>
      <c r="B193" s="83"/>
      <c r="C193" s="84"/>
      <c r="D193" s="83"/>
      <c r="E193" s="85"/>
      <c r="F193" s="86">
        <f>SUM(F190:F192)</f>
        <v>0</v>
      </c>
      <c r="G193" s="85"/>
    </row>
    <row r="194" spans="1:7">
      <c r="A194" s="210" t="s">
        <v>90</v>
      </c>
      <c r="B194" s="41" t="s">
        <v>91</v>
      </c>
      <c r="C194" s="43" t="s">
        <v>54</v>
      </c>
      <c r="D194" s="44" t="s">
        <v>164</v>
      </c>
      <c r="E194" s="45">
        <v>0</v>
      </c>
      <c r="F194" s="46">
        <v>0</v>
      </c>
      <c r="G194" s="45">
        <v>0</v>
      </c>
    </row>
    <row r="195" spans="1:7">
      <c r="A195" s="211"/>
      <c r="B195" s="41" t="s">
        <v>91</v>
      </c>
      <c r="C195" s="48"/>
      <c r="D195" s="44" t="s">
        <v>165</v>
      </c>
      <c r="E195" s="45">
        <v>0</v>
      </c>
      <c r="F195" s="46">
        <v>0</v>
      </c>
      <c r="G195" s="45">
        <v>0</v>
      </c>
    </row>
    <row r="196" spans="1:7">
      <c r="A196" s="211"/>
      <c r="B196" s="41" t="s">
        <v>91</v>
      </c>
      <c r="C196" s="49"/>
      <c r="D196" s="44" t="s">
        <v>166</v>
      </c>
      <c r="E196" s="45">
        <v>0</v>
      </c>
      <c r="F196" s="46">
        <v>0</v>
      </c>
      <c r="G196" s="45">
        <v>0</v>
      </c>
    </row>
    <row r="197" spans="1:7">
      <c r="A197" s="212"/>
      <c r="B197" s="83"/>
      <c r="C197" s="84"/>
      <c r="D197" s="83"/>
      <c r="E197" s="85"/>
      <c r="F197" s="86">
        <f>SUM(F194:F196)</f>
        <v>0</v>
      </c>
      <c r="G197" s="85"/>
    </row>
  </sheetData>
  <mergeCells count="3">
    <mergeCell ref="A1:H1"/>
    <mergeCell ref="A97:G97"/>
    <mergeCell ref="A170:G170"/>
  </mergeCells>
  <printOptions horizontalCentered="1"/>
  <pageMargins left="0.7" right="0.71" top="0.97" bottom="0.75" header="0.5" footer="0.5"/>
  <pageSetup scale="80" firstPageNumber="3" orientation="portrait" useFirstPageNumber="1" r:id="rId1"/>
  <headerFooter scaleWithDoc="0">
    <oddHeader>&amp;CAvista Corporation Decoupling Mechanism
Washington Jurisdiction
Quarterly Report for 1st Quarter 2018</oddHeader>
    <oddFooter>&amp;Cfile: &amp;F / &amp;A&amp;RPage &amp;P of 9</oddFooter>
  </headerFooter>
  <rowBreaks count="3" manualBreakCount="3">
    <brk id="48" max="7" man="1"/>
    <brk id="95" max="7" man="1"/>
    <brk id="143"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7"/>
  <sheetViews>
    <sheetView view="pageLayout" topLeftCell="A107" zoomScaleNormal="100" workbookViewId="0">
      <selection activeCell="E137" sqref="E137"/>
    </sheetView>
  </sheetViews>
  <sheetFormatPr defaultColWidth="8.85546875" defaultRowHeight="15"/>
  <cols>
    <col min="1" max="1" width="13.85546875" style="74" customWidth="1"/>
    <col min="2" max="2" width="3.85546875" style="74" customWidth="1"/>
    <col min="3" max="3" width="14.28515625" style="74" bestFit="1" customWidth="1"/>
    <col min="4" max="4" width="13.28515625" style="74" bestFit="1" customWidth="1"/>
    <col min="5" max="5" width="12.5703125" style="74" bestFit="1" customWidth="1"/>
    <col min="6" max="6" width="12.28515625" style="74" customWidth="1"/>
    <col min="7" max="7" width="3.42578125" style="74" customWidth="1"/>
    <col min="8" max="8" width="10" style="74" customWidth="1"/>
    <col min="9" max="9" width="3.85546875" style="74" customWidth="1"/>
    <col min="10" max="10" width="13.42578125" style="74" customWidth="1"/>
    <col min="11" max="11" width="3.85546875" style="74" customWidth="1"/>
    <col min="12" max="12" width="12.140625" style="74" customWidth="1"/>
    <col min="13" max="13" width="12.42578125" style="74" customWidth="1"/>
    <col min="14" max="14" width="12.5703125" style="74" bestFit="1" customWidth="1"/>
    <col min="15" max="15" width="12.140625" style="74" customWidth="1"/>
    <col min="16" max="16" width="3.7109375" style="74" customWidth="1"/>
    <col min="17" max="17" width="10.28515625" style="74" customWidth="1"/>
    <col min="18" max="18" width="3.140625" style="74" customWidth="1"/>
    <col min="19" max="16384" width="8.85546875" style="74"/>
  </cols>
  <sheetData>
    <row r="1" spans="1:18" ht="28.15" customHeight="1">
      <c r="A1" s="220" t="s">
        <v>116</v>
      </c>
      <c r="B1" s="220"/>
      <c r="C1" s="220"/>
      <c r="D1" s="220"/>
      <c r="E1" s="220"/>
      <c r="F1" s="220"/>
      <c r="G1" s="220"/>
      <c r="H1" s="220"/>
      <c r="I1" s="220"/>
      <c r="J1" s="220" t="s">
        <v>116</v>
      </c>
      <c r="K1" s="220"/>
      <c r="L1" s="220"/>
      <c r="M1" s="220"/>
      <c r="N1" s="220"/>
      <c r="O1" s="220"/>
      <c r="P1" s="220"/>
      <c r="Q1" s="220"/>
      <c r="R1" s="220"/>
    </row>
    <row r="2" spans="1:18">
      <c r="C2" s="175" t="s">
        <v>123</v>
      </c>
      <c r="L2" s="175" t="s">
        <v>122</v>
      </c>
    </row>
    <row r="3" spans="1:18">
      <c r="A3" s="152"/>
      <c r="C3" s="180"/>
      <c r="H3" s="183" t="s">
        <v>152</v>
      </c>
      <c r="L3" s="180"/>
      <c r="Q3" s="183" t="s">
        <v>152</v>
      </c>
    </row>
    <row r="4" spans="1:18">
      <c r="A4" s="152"/>
      <c r="C4" s="180" t="s">
        <v>121</v>
      </c>
      <c r="D4" s="74">
        <v>419605</v>
      </c>
      <c r="E4" s="74">
        <v>431605</v>
      </c>
      <c r="F4" s="74" t="s">
        <v>118</v>
      </c>
      <c r="H4" s="183" t="s">
        <v>153</v>
      </c>
      <c r="L4" s="180" t="s">
        <v>121</v>
      </c>
      <c r="M4" s="74" t="s">
        <v>119</v>
      </c>
      <c r="N4" s="74" t="s">
        <v>120</v>
      </c>
      <c r="O4" s="74" t="s">
        <v>118</v>
      </c>
      <c r="Q4" s="183" t="s">
        <v>153</v>
      </c>
    </row>
    <row r="5" spans="1:18" ht="14.45" customHeight="1">
      <c r="A5" s="152">
        <v>43101</v>
      </c>
      <c r="C5" s="154">
        <f>D25+D41+D58+D76+D93+D109+D125+D141</f>
        <v>25990.954545833338</v>
      </c>
      <c r="D5" s="195">
        <v>35295.339999999997</v>
      </c>
      <c r="E5" s="195">
        <v>-9304.39</v>
      </c>
      <c r="F5" s="154">
        <f>D5+E5</f>
        <v>25990.949999999997</v>
      </c>
      <c r="H5" s="154">
        <f>C5-F5</f>
        <v>4.5458333406713791E-3</v>
      </c>
      <c r="J5" s="152">
        <f>A5</f>
        <v>43101</v>
      </c>
      <c r="L5" s="154">
        <f t="shared" ref="L5:L16" si="0">M25+M41+M58+M76+M93+M109+M125+M141</f>
        <v>11137.999915625001</v>
      </c>
      <c r="M5" s="195">
        <v>24563.68</v>
      </c>
      <c r="N5" s="195">
        <v>-13425.68</v>
      </c>
      <c r="O5" s="154">
        <f>M5+N5</f>
        <v>11138</v>
      </c>
      <c r="Q5" s="154">
        <f>L5-O5</f>
        <v>-8.4374998550629243E-5</v>
      </c>
    </row>
    <row r="6" spans="1:18" ht="14.45" customHeight="1">
      <c r="A6" s="152">
        <v>43132</v>
      </c>
      <c r="C6" s="154">
        <f t="shared" ref="C6:C16" si="1">D26+D42+D59+D77+D94+D110+D126+D142</f>
        <v>27601.349297349832</v>
      </c>
      <c r="D6" s="195">
        <v>36938.69</v>
      </c>
      <c r="E6" s="195">
        <v>-9337.34</v>
      </c>
      <c r="F6" s="154">
        <f t="shared" ref="F6:F16" si="2">D6+E6</f>
        <v>27601.350000000002</v>
      </c>
      <c r="H6" s="154">
        <f>C6-F6</f>
        <v>-7.0265016984194517E-4</v>
      </c>
      <c r="J6" s="152">
        <f t="shared" ref="J6:J16" si="3">A6</f>
        <v>43132</v>
      </c>
      <c r="L6" s="154">
        <f t="shared" si="0"/>
        <v>8731.0404653261721</v>
      </c>
      <c r="M6" s="195">
        <v>23580.02</v>
      </c>
      <c r="N6" s="195">
        <v>-13473.23</v>
      </c>
      <c r="O6" s="154">
        <f t="shared" ref="O6:O16" si="4">M6+N6</f>
        <v>10106.790000000001</v>
      </c>
      <c r="Q6" s="154">
        <f t="shared" ref="Q6:Q16" si="5">L6-O6</f>
        <v>-1375.7495346738287</v>
      </c>
    </row>
    <row r="7" spans="1:18" ht="14.45" customHeight="1">
      <c r="A7" s="152">
        <v>43160</v>
      </c>
      <c r="C7" s="154">
        <f t="shared" si="1"/>
        <v>29363.603277152943</v>
      </c>
      <c r="D7" s="195">
        <v>38734.01</v>
      </c>
      <c r="E7" s="195">
        <v>-9370.41</v>
      </c>
      <c r="F7" s="154">
        <f t="shared" si="2"/>
        <v>29363.600000000002</v>
      </c>
      <c r="H7" s="154">
        <f>C7-F7</f>
        <v>3.277152940427186E-3</v>
      </c>
      <c r="J7" s="152">
        <f t="shared" si="3"/>
        <v>43160</v>
      </c>
      <c r="L7" s="154">
        <f t="shared" si="0"/>
        <v>4030.9765878075373</v>
      </c>
      <c r="M7" s="195">
        <v>16176.17</v>
      </c>
      <c r="N7" s="195">
        <v>-13520.94</v>
      </c>
      <c r="O7" s="154">
        <f t="shared" si="4"/>
        <v>2655.2299999999996</v>
      </c>
      <c r="Q7" s="154">
        <f t="shared" si="5"/>
        <v>1375.7465878075377</v>
      </c>
    </row>
    <row r="8" spans="1:18" ht="14.45" hidden="1" customHeight="1">
      <c r="A8" s="152">
        <v>43191</v>
      </c>
      <c r="C8" s="154">
        <f t="shared" si="1"/>
        <v>0</v>
      </c>
      <c r="D8" s="195"/>
      <c r="E8" s="195"/>
      <c r="F8" s="154">
        <f t="shared" si="2"/>
        <v>0</v>
      </c>
      <c r="H8" s="154">
        <f>C8-F8</f>
        <v>0</v>
      </c>
      <c r="J8" s="152">
        <f t="shared" si="3"/>
        <v>43191</v>
      </c>
      <c r="L8" s="154">
        <f t="shared" si="0"/>
        <v>0</v>
      </c>
      <c r="M8" s="195"/>
      <c r="N8" s="195"/>
      <c r="O8" s="154">
        <f t="shared" si="4"/>
        <v>0</v>
      </c>
      <c r="Q8" s="154">
        <f t="shared" si="5"/>
        <v>0</v>
      </c>
    </row>
    <row r="9" spans="1:18" ht="14.45" hidden="1" customHeight="1">
      <c r="A9" s="152">
        <v>43221</v>
      </c>
      <c r="C9" s="154">
        <f t="shared" si="1"/>
        <v>0</v>
      </c>
      <c r="D9" s="195"/>
      <c r="E9" s="195"/>
      <c r="F9" s="154">
        <f t="shared" si="2"/>
        <v>0</v>
      </c>
      <c r="H9" s="154">
        <f t="shared" ref="H9" si="6">C9-F9</f>
        <v>0</v>
      </c>
      <c r="J9" s="152">
        <f t="shared" si="3"/>
        <v>43221</v>
      </c>
      <c r="L9" s="154">
        <f t="shared" si="0"/>
        <v>0</v>
      </c>
      <c r="M9" s="195"/>
      <c r="N9" s="195"/>
      <c r="O9" s="154">
        <f t="shared" si="4"/>
        <v>0</v>
      </c>
      <c r="Q9" s="154">
        <f t="shared" si="5"/>
        <v>0</v>
      </c>
    </row>
    <row r="10" spans="1:18" ht="14.45" hidden="1" customHeight="1">
      <c r="A10" s="152">
        <v>43252</v>
      </c>
      <c r="C10" s="154">
        <f t="shared" si="1"/>
        <v>0</v>
      </c>
      <c r="D10" s="195"/>
      <c r="E10" s="195"/>
      <c r="F10" s="154">
        <f t="shared" si="2"/>
        <v>0</v>
      </c>
      <c r="H10" s="154">
        <f>C10-F10</f>
        <v>0</v>
      </c>
      <c r="J10" s="152">
        <f t="shared" si="3"/>
        <v>43252</v>
      </c>
      <c r="L10" s="154">
        <f t="shared" si="0"/>
        <v>0</v>
      </c>
      <c r="M10" s="195"/>
      <c r="N10" s="195"/>
      <c r="O10" s="154">
        <f t="shared" si="4"/>
        <v>0</v>
      </c>
      <c r="Q10" s="154">
        <f>L10-O10</f>
        <v>0</v>
      </c>
    </row>
    <row r="11" spans="1:18" ht="14.45" hidden="1" customHeight="1">
      <c r="A11" s="152">
        <v>43282</v>
      </c>
      <c r="C11" s="154">
        <f>D31+D47+D64+D82+D99+D115+D131+D147</f>
        <v>0</v>
      </c>
      <c r="D11" s="195"/>
      <c r="E11" s="195"/>
      <c r="F11" s="154">
        <f t="shared" si="2"/>
        <v>0</v>
      </c>
      <c r="H11" s="154">
        <f>C11-F11</f>
        <v>0</v>
      </c>
      <c r="J11" s="152">
        <f t="shared" si="3"/>
        <v>43282</v>
      </c>
      <c r="L11" s="154">
        <f>M31+M47+M64+M82+M99+M115+M131+M147</f>
        <v>0</v>
      </c>
      <c r="M11" s="195"/>
      <c r="N11" s="195"/>
      <c r="O11" s="154">
        <f t="shared" si="4"/>
        <v>0</v>
      </c>
      <c r="Q11" s="154">
        <f>L11-O11</f>
        <v>0</v>
      </c>
    </row>
    <row r="12" spans="1:18" ht="14.45" hidden="1" customHeight="1">
      <c r="A12" s="152">
        <v>43313</v>
      </c>
      <c r="C12" s="154">
        <f>D32+D48+D65+D83+D100+D116+D132+D148</f>
        <v>0</v>
      </c>
      <c r="D12" s="195"/>
      <c r="E12" s="195"/>
      <c r="F12" s="154">
        <f>D12+E12</f>
        <v>0</v>
      </c>
      <c r="H12" s="158">
        <f>C12-F12</f>
        <v>0</v>
      </c>
      <c r="J12" s="152">
        <f t="shared" si="3"/>
        <v>43313</v>
      </c>
      <c r="L12" s="154">
        <f>M32+M48+M65+M83+M100+M116+M132+M148</f>
        <v>0</v>
      </c>
      <c r="M12" s="195"/>
      <c r="N12" s="195"/>
      <c r="O12" s="154">
        <f>M12+N12</f>
        <v>0</v>
      </c>
      <c r="Q12" s="154">
        <f>L12-O12</f>
        <v>0</v>
      </c>
    </row>
    <row r="13" spans="1:18" ht="14.45" hidden="1" customHeight="1">
      <c r="A13" s="152">
        <v>43344</v>
      </c>
      <c r="C13" s="154">
        <f>D33+D49+D66+D84+D101+D117+D133+D149</f>
        <v>0</v>
      </c>
      <c r="D13" s="195"/>
      <c r="E13" s="195"/>
      <c r="F13" s="154">
        <f>D13+E13</f>
        <v>0</v>
      </c>
      <c r="H13" s="158">
        <f>C13-F13</f>
        <v>0</v>
      </c>
      <c r="J13" s="152">
        <f t="shared" si="3"/>
        <v>43344</v>
      </c>
      <c r="L13" s="154">
        <f t="shared" si="0"/>
        <v>0</v>
      </c>
      <c r="M13" s="195"/>
      <c r="N13" s="195"/>
      <c r="O13" s="154">
        <f t="shared" si="4"/>
        <v>0</v>
      </c>
      <c r="Q13" s="154">
        <f t="shared" si="5"/>
        <v>0</v>
      </c>
    </row>
    <row r="14" spans="1:18" hidden="1">
      <c r="A14" s="152">
        <v>43374</v>
      </c>
      <c r="C14" s="154">
        <f t="shared" si="1"/>
        <v>0</v>
      </c>
      <c r="D14" s="195"/>
      <c r="E14" s="195"/>
      <c r="F14" s="154">
        <f>D14+E14</f>
        <v>0</v>
      </c>
      <c r="H14" s="158">
        <f>C14-F14</f>
        <v>0</v>
      </c>
      <c r="J14" s="152">
        <f t="shared" si="3"/>
        <v>43374</v>
      </c>
      <c r="L14" s="154">
        <f>M34+M50+M67+M85+M102+M118+M134+M150</f>
        <v>0</v>
      </c>
      <c r="M14" s="195"/>
      <c r="N14" s="195"/>
      <c r="O14" s="154">
        <f t="shared" si="4"/>
        <v>0</v>
      </c>
      <c r="Q14" s="154">
        <f>L14-O14</f>
        <v>0</v>
      </c>
    </row>
    <row r="15" spans="1:18" hidden="1">
      <c r="A15" s="152">
        <v>43405</v>
      </c>
      <c r="C15" s="154">
        <f t="shared" si="1"/>
        <v>0</v>
      </c>
      <c r="D15" s="195"/>
      <c r="E15" s="195"/>
      <c r="F15" s="154">
        <f>D15+E15</f>
        <v>0</v>
      </c>
      <c r="H15" s="158">
        <f t="shared" ref="H15:H16" si="7">C15-F15</f>
        <v>0</v>
      </c>
      <c r="J15" s="152">
        <f t="shared" si="3"/>
        <v>43405</v>
      </c>
      <c r="L15" s="154">
        <f>M35+M51+M68+M86+M103+M119+M135+M151</f>
        <v>0</v>
      </c>
      <c r="M15" s="195"/>
      <c r="N15" s="195"/>
      <c r="O15" s="154">
        <f>M15+N15</f>
        <v>0</v>
      </c>
      <c r="Q15" s="154">
        <f>L15-O15</f>
        <v>0</v>
      </c>
    </row>
    <row r="16" spans="1:18" hidden="1">
      <c r="A16" s="152">
        <v>43435</v>
      </c>
      <c r="C16" s="154">
        <f t="shared" si="1"/>
        <v>0</v>
      </c>
      <c r="D16" s="195"/>
      <c r="E16" s="195"/>
      <c r="F16" s="154">
        <f t="shared" si="2"/>
        <v>0</v>
      </c>
      <c r="H16" s="158">
        <f t="shared" si="7"/>
        <v>0</v>
      </c>
      <c r="J16" s="152">
        <f t="shared" si="3"/>
        <v>43435</v>
      </c>
      <c r="L16" s="154">
        <f t="shared" si="0"/>
        <v>0</v>
      </c>
      <c r="M16" s="195"/>
      <c r="N16" s="195"/>
      <c r="O16" s="154">
        <f t="shared" si="4"/>
        <v>0</v>
      </c>
      <c r="Q16" s="154">
        <f t="shared" si="5"/>
        <v>0</v>
      </c>
    </row>
    <row r="17" spans="1:17" ht="14.45" customHeight="1">
      <c r="A17" s="184" t="s">
        <v>117</v>
      </c>
      <c r="B17" s="174"/>
      <c r="C17" s="185">
        <f>SUM(C5:C7)</f>
        <v>82955.907120336109</v>
      </c>
      <c r="D17" s="185">
        <f t="shared" ref="D17:F17" si="8">SUM(D5:D7)</f>
        <v>110968.04000000001</v>
      </c>
      <c r="E17" s="185">
        <f t="shared" si="8"/>
        <v>-28012.14</v>
      </c>
      <c r="F17" s="185">
        <f t="shared" si="8"/>
        <v>82955.900000000009</v>
      </c>
      <c r="G17" s="174"/>
      <c r="H17" s="185">
        <f>C17-F17</f>
        <v>7.1203361003426835E-3</v>
      </c>
      <c r="I17" s="174"/>
      <c r="J17" s="184" t="s">
        <v>117</v>
      </c>
      <c r="K17" s="174"/>
      <c r="L17" s="185">
        <f>SUM(L5:L7)</f>
        <v>23900.016968758711</v>
      </c>
      <c r="M17" s="185">
        <f t="shared" ref="M17:O17" si="9">SUM(M5:M7)</f>
        <v>64319.869999999995</v>
      </c>
      <c r="N17" s="185">
        <f t="shared" si="9"/>
        <v>-40419.85</v>
      </c>
      <c r="O17" s="185">
        <f t="shared" si="9"/>
        <v>23900.02</v>
      </c>
      <c r="P17" s="174"/>
      <c r="Q17" s="185">
        <f>L17-O17</f>
        <v>-3.0312412891362328E-3</v>
      </c>
    </row>
    <row r="18" spans="1:17" ht="14.45" hidden="1" customHeight="1">
      <c r="A18" s="184" t="s">
        <v>124</v>
      </c>
      <c r="B18" s="174"/>
      <c r="C18" s="185">
        <f>SUM(C8:C10)</f>
        <v>0</v>
      </c>
      <c r="D18" s="185">
        <f t="shared" ref="D18:F18" si="10">SUM(D8:D10)</f>
        <v>0</v>
      </c>
      <c r="E18" s="185">
        <f t="shared" si="10"/>
        <v>0</v>
      </c>
      <c r="F18" s="185">
        <f t="shared" si="10"/>
        <v>0</v>
      </c>
      <c r="G18" s="174"/>
      <c r="H18" s="185">
        <f>SUM(H8:H10)</f>
        <v>0</v>
      </c>
      <c r="I18" s="174"/>
      <c r="J18" s="184" t="s">
        <v>124</v>
      </c>
      <c r="K18" s="174"/>
      <c r="L18" s="185">
        <f>SUM(L8:L10)</f>
        <v>0</v>
      </c>
      <c r="M18" s="185">
        <f t="shared" ref="M18:O18" si="11">SUM(M8:M10)</f>
        <v>0</v>
      </c>
      <c r="N18" s="185">
        <f t="shared" si="11"/>
        <v>0</v>
      </c>
      <c r="O18" s="185">
        <f t="shared" si="11"/>
        <v>0</v>
      </c>
      <c r="P18" s="174"/>
      <c r="Q18" s="185">
        <f>L18-O18</f>
        <v>0</v>
      </c>
    </row>
    <row r="19" spans="1:17" ht="14.45" hidden="1" customHeight="1">
      <c r="A19" s="184" t="s">
        <v>125</v>
      </c>
      <c r="B19" s="174"/>
      <c r="C19" s="185">
        <f>SUM(C11:C13)</f>
        <v>0</v>
      </c>
      <c r="D19" s="185">
        <f t="shared" ref="D19:F19" si="12">SUM(D11:D13)</f>
        <v>0</v>
      </c>
      <c r="E19" s="185">
        <f t="shared" si="12"/>
        <v>0</v>
      </c>
      <c r="F19" s="185">
        <f t="shared" si="12"/>
        <v>0</v>
      </c>
      <c r="G19" s="174"/>
      <c r="H19" s="185">
        <f>C19-F19</f>
        <v>0</v>
      </c>
      <c r="I19" s="174"/>
      <c r="J19" s="184" t="s">
        <v>126</v>
      </c>
      <c r="K19" s="174"/>
      <c r="L19" s="185">
        <f>SUM(L11:L13)</f>
        <v>0</v>
      </c>
      <c r="M19" s="185">
        <f>SUM(M11:M13)</f>
        <v>0</v>
      </c>
      <c r="N19" s="185">
        <f t="shared" ref="N19:O19" si="13">SUM(N11:N13)</f>
        <v>0</v>
      </c>
      <c r="O19" s="185">
        <f t="shared" si="13"/>
        <v>0</v>
      </c>
      <c r="P19" s="174"/>
      <c r="Q19" s="185">
        <f>L19-O19</f>
        <v>0</v>
      </c>
    </row>
    <row r="20" spans="1:17" s="174" customFormat="1" hidden="1">
      <c r="A20" s="184" t="s">
        <v>128</v>
      </c>
      <c r="C20" s="185">
        <f>SUM(C14:C16)</f>
        <v>0</v>
      </c>
      <c r="D20" s="185">
        <f t="shared" ref="D20:F20" si="14">SUM(D14:D16)</f>
        <v>0</v>
      </c>
      <c r="E20" s="185">
        <f t="shared" si="14"/>
        <v>0</v>
      </c>
      <c r="F20" s="185">
        <f t="shared" si="14"/>
        <v>0</v>
      </c>
      <c r="H20" s="185">
        <f>C20-F20</f>
        <v>0</v>
      </c>
      <c r="J20" s="184" t="s">
        <v>128</v>
      </c>
      <c r="L20" s="185">
        <f>SUM(L14:L16)</f>
        <v>0</v>
      </c>
      <c r="M20" s="185">
        <f t="shared" ref="M20:O20" si="15">SUM(M14:M16)</f>
        <v>0</v>
      </c>
      <c r="N20" s="185">
        <f t="shared" si="15"/>
        <v>0</v>
      </c>
      <c r="O20" s="185">
        <f t="shared" si="15"/>
        <v>0</v>
      </c>
      <c r="Q20" s="185">
        <f>L20-O20</f>
        <v>0</v>
      </c>
    </row>
    <row r="22" spans="1:17">
      <c r="A22" s="74">
        <v>186328</v>
      </c>
      <c r="B22" s="74" t="s">
        <v>53</v>
      </c>
      <c r="C22" s="180" t="s">
        <v>108</v>
      </c>
      <c r="D22" s="180" t="s">
        <v>109</v>
      </c>
      <c r="E22" s="180"/>
      <c r="F22" s="180" t="s">
        <v>111</v>
      </c>
      <c r="H22" s="180" t="s">
        <v>109</v>
      </c>
      <c r="J22" s="74">
        <v>186328</v>
      </c>
      <c r="K22" s="74" t="s">
        <v>54</v>
      </c>
      <c r="L22" s="180" t="s">
        <v>108</v>
      </c>
      <c r="M22" s="180" t="s">
        <v>109</v>
      </c>
      <c r="N22" s="180"/>
      <c r="O22" s="180" t="s">
        <v>111</v>
      </c>
      <c r="Q22" s="180" t="s">
        <v>109</v>
      </c>
    </row>
    <row r="23" spans="1:17">
      <c r="C23" s="180" t="s">
        <v>112</v>
      </c>
      <c r="D23" s="180" t="s">
        <v>113</v>
      </c>
      <c r="E23" s="180" t="s">
        <v>114</v>
      </c>
      <c r="F23" s="180" t="s">
        <v>110</v>
      </c>
      <c r="H23" s="180" t="s">
        <v>115</v>
      </c>
      <c r="L23" s="180" t="s">
        <v>112</v>
      </c>
      <c r="M23" s="180" t="s">
        <v>113</v>
      </c>
      <c r="N23" s="180" t="s">
        <v>114</v>
      </c>
      <c r="O23" s="180" t="s">
        <v>110</v>
      </c>
      <c r="Q23" s="180" t="s">
        <v>115</v>
      </c>
    </row>
    <row r="24" spans="1:17" ht="14.45" customHeight="1">
      <c r="A24" s="152">
        <v>43070</v>
      </c>
      <c r="B24" s="153"/>
      <c r="C24" s="153"/>
      <c r="F24" s="154">
        <v>0</v>
      </c>
      <c r="J24" s="152">
        <f>A24</f>
        <v>43070</v>
      </c>
      <c r="K24" s="153"/>
      <c r="L24" s="153"/>
      <c r="O24" s="154">
        <v>0</v>
      </c>
    </row>
    <row r="25" spans="1:17" ht="14.45" customHeight="1">
      <c r="A25" s="152">
        <f>A5</f>
        <v>43101</v>
      </c>
      <c r="C25" s="195">
        <f>-'Accounting Balances'!F104</f>
        <v>340574.75</v>
      </c>
      <c r="D25" s="154">
        <f t="shared" ref="D25:D35" si="16">(F24+(C25+E25)/2)*H25/12</f>
        <v>603.10111979166675</v>
      </c>
      <c r="F25" s="154">
        <f>F24+C25+D25+E25</f>
        <v>341177.85111979168</v>
      </c>
      <c r="H25" s="198">
        <v>4.2500000000000003E-2</v>
      </c>
      <c r="J25" s="152">
        <f t="shared" ref="J25:J36" si="17">A25</f>
        <v>43101</v>
      </c>
      <c r="L25" s="195">
        <f>-'Accounting Balances'!F112</f>
        <v>542197.09</v>
      </c>
      <c r="M25" s="154">
        <f t="shared" ref="M25:M36" si="18">(O24+(L25+N25)/2)*Q25/12</f>
        <v>960.14068020833338</v>
      </c>
      <c r="O25" s="154">
        <f t="shared" ref="O25:O36" si="19">O24+L25+M25+N25</f>
        <v>543157.2306802083</v>
      </c>
      <c r="Q25" s="155">
        <f>H25</f>
        <v>4.2500000000000003E-2</v>
      </c>
    </row>
    <row r="26" spans="1:17" ht="14.45" customHeight="1">
      <c r="A26" s="152">
        <f t="shared" ref="A26:A36" si="20">A6</f>
        <v>43132</v>
      </c>
      <c r="C26" s="195">
        <f>-'Accounting Balances'!F105</f>
        <v>1733954.66</v>
      </c>
      <c r="D26" s="154">
        <f t="shared" si="16"/>
        <v>4278.882933132596</v>
      </c>
      <c r="F26" s="154">
        <f t="shared" ref="F26:F36" si="21">F25+C26+D26+E26</f>
        <v>2079411.3940529241</v>
      </c>
      <c r="H26" s="155">
        <f>H25</f>
        <v>4.2500000000000003E-2</v>
      </c>
      <c r="J26" s="152">
        <f t="shared" si="17"/>
        <v>43132</v>
      </c>
      <c r="L26" s="195">
        <f>-'Accounting Balances'!F113</f>
        <v>284585.75</v>
      </c>
      <c r="M26" s="154">
        <f t="shared" si="18"/>
        <v>2427.6357909507378</v>
      </c>
      <c r="O26" s="154">
        <f t="shared" si="19"/>
        <v>830170.61647115904</v>
      </c>
      <c r="Q26" s="155">
        <f t="shared" ref="Q26:Q36" si="22">H26</f>
        <v>4.2500000000000003E-2</v>
      </c>
    </row>
    <row r="27" spans="1:17" ht="14.45" customHeight="1">
      <c r="A27" s="152">
        <f t="shared" si="20"/>
        <v>43160</v>
      </c>
      <c r="C27" s="195">
        <f>-'Accounting Balances'!F106</f>
        <v>636727.1</v>
      </c>
      <c r="D27" s="154">
        <f t="shared" si="16"/>
        <v>8492.1195935207725</v>
      </c>
      <c r="F27" s="154">
        <f>F26+C27+D27+E27</f>
        <v>2724630.6136464449</v>
      </c>
      <c r="H27" s="155">
        <f t="shared" ref="H27:H36" si="23">H26</f>
        <v>4.2500000000000003E-2</v>
      </c>
      <c r="J27" s="152">
        <f t="shared" si="17"/>
        <v>43160</v>
      </c>
      <c r="L27" s="195">
        <f>-'Accounting Balances'!F114</f>
        <v>-767263.43</v>
      </c>
      <c r="M27" s="154">
        <f t="shared" si="18"/>
        <v>1581.491942710355</v>
      </c>
      <c r="O27" s="154">
        <f t="shared" si="19"/>
        <v>64488.67841386934</v>
      </c>
      <c r="Q27" s="155">
        <f t="shared" si="22"/>
        <v>4.2500000000000003E-2</v>
      </c>
    </row>
    <row r="28" spans="1:17" ht="14.45" hidden="1" customHeight="1">
      <c r="A28" s="152">
        <f t="shared" si="20"/>
        <v>43191</v>
      </c>
      <c r="C28" s="195"/>
      <c r="D28" s="154">
        <f>(F27+(C28+E28)/2)*H28/12</f>
        <v>0</v>
      </c>
      <c r="F28" s="154">
        <f>F27+C28+D28+E28</f>
        <v>2724630.6136464449</v>
      </c>
      <c r="H28" s="198">
        <v>0</v>
      </c>
      <c r="J28" s="152">
        <f t="shared" si="17"/>
        <v>43191</v>
      </c>
      <c r="L28" s="195"/>
      <c r="M28" s="154">
        <f t="shared" si="18"/>
        <v>0</v>
      </c>
      <c r="O28" s="154">
        <f t="shared" si="19"/>
        <v>64488.67841386934</v>
      </c>
      <c r="Q28" s="155">
        <f t="shared" si="22"/>
        <v>0</v>
      </c>
    </row>
    <row r="29" spans="1:17" ht="14.45" hidden="1" customHeight="1">
      <c r="A29" s="152">
        <f t="shared" si="20"/>
        <v>43221</v>
      </c>
      <c r="C29" s="195"/>
      <c r="D29" s="154">
        <f t="shared" si="16"/>
        <v>0</v>
      </c>
      <c r="F29" s="154">
        <f t="shared" si="21"/>
        <v>2724630.6136464449</v>
      </c>
      <c r="H29" s="155">
        <f t="shared" si="23"/>
        <v>0</v>
      </c>
      <c r="J29" s="152">
        <f t="shared" si="17"/>
        <v>43221</v>
      </c>
      <c r="L29" s="195"/>
      <c r="M29" s="154">
        <f t="shared" si="18"/>
        <v>0</v>
      </c>
      <c r="O29" s="154">
        <f t="shared" si="19"/>
        <v>64488.67841386934</v>
      </c>
      <c r="Q29" s="155">
        <f t="shared" si="22"/>
        <v>0</v>
      </c>
    </row>
    <row r="30" spans="1:17" ht="14.45" hidden="1" customHeight="1">
      <c r="A30" s="152">
        <f t="shared" si="20"/>
        <v>43252</v>
      </c>
      <c r="C30" s="195"/>
      <c r="D30" s="154">
        <f>(F29+(C30+E30)/2)*H30/12</f>
        <v>0</v>
      </c>
      <c r="F30" s="154">
        <f t="shared" si="21"/>
        <v>2724630.6136464449</v>
      </c>
      <c r="H30" s="155">
        <f t="shared" si="23"/>
        <v>0</v>
      </c>
      <c r="J30" s="152">
        <f t="shared" si="17"/>
        <v>43252</v>
      </c>
      <c r="L30" s="195"/>
      <c r="M30" s="154">
        <f t="shared" si="18"/>
        <v>0</v>
      </c>
      <c r="O30" s="154">
        <f t="shared" si="19"/>
        <v>64488.67841386934</v>
      </c>
      <c r="Q30" s="155">
        <f t="shared" si="22"/>
        <v>0</v>
      </c>
    </row>
    <row r="31" spans="1:17" ht="14.45" hidden="1" customHeight="1">
      <c r="A31" s="152">
        <f t="shared" si="20"/>
        <v>43282</v>
      </c>
      <c r="C31" s="195"/>
      <c r="D31" s="154">
        <f>(F30+(C31+E31)/2)*H31/12</f>
        <v>0</v>
      </c>
      <c r="F31" s="154">
        <f t="shared" si="21"/>
        <v>2724630.6136464449</v>
      </c>
      <c r="H31" s="198">
        <v>0</v>
      </c>
      <c r="J31" s="152">
        <f t="shared" si="17"/>
        <v>43282</v>
      </c>
      <c r="L31" s="195"/>
      <c r="M31" s="154">
        <f t="shared" si="18"/>
        <v>0</v>
      </c>
      <c r="O31" s="154">
        <f t="shared" si="19"/>
        <v>64488.67841386934</v>
      </c>
      <c r="Q31" s="155">
        <f t="shared" si="22"/>
        <v>0</v>
      </c>
    </row>
    <row r="32" spans="1:17" ht="14.45" hidden="1" customHeight="1">
      <c r="A32" s="152">
        <f t="shared" si="20"/>
        <v>43313</v>
      </c>
      <c r="C32" s="195"/>
      <c r="D32" s="154">
        <f>(F31+(C32+E32)/2)*H32/12</f>
        <v>0</v>
      </c>
      <c r="F32" s="154">
        <f t="shared" si="21"/>
        <v>2724630.6136464449</v>
      </c>
      <c r="H32" s="155">
        <f t="shared" si="23"/>
        <v>0</v>
      </c>
      <c r="J32" s="152">
        <f t="shared" si="17"/>
        <v>43313</v>
      </c>
      <c r="L32" s="195"/>
      <c r="M32" s="154">
        <f t="shared" si="18"/>
        <v>0</v>
      </c>
      <c r="O32" s="154">
        <f t="shared" si="19"/>
        <v>64488.67841386934</v>
      </c>
      <c r="Q32" s="155">
        <f t="shared" si="22"/>
        <v>0</v>
      </c>
    </row>
    <row r="33" spans="1:17" hidden="1">
      <c r="A33" s="152">
        <f t="shared" si="20"/>
        <v>43344</v>
      </c>
      <c r="C33" s="195"/>
      <c r="D33" s="154">
        <f>(F32+(C33+E33)/2)*H33/12</f>
        <v>0</v>
      </c>
      <c r="F33" s="154">
        <f t="shared" si="21"/>
        <v>2724630.6136464449</v>
      </c>
      <c r="H33" s="155">
        <f t="shared" si="23"/>
        <v>0</v>
      </c>
      <c r="J33" s="152">
        <f t="shared" si="17"/>
        <v>43344</v>
      </c>
      <c r="L33" s="195"/>
      <c r="M33" s="154">
        <f t="shared" si="18"/>
        <v>0</v>
      </c>
      <c r="O33" s="154">
        <f t="shared" si="19"/>
        <v>64488.67841386934</v>
      </c>
      <c r="Q33" s="155">
        <f t="shared" si="22"/>
        <v>0</v>
      </c>
    </row>
    <row r="34" spans="1:17" hidden="1">
      <c r="A34" s="152">
        <f t="shared" si="20"/>
        <v>43374</v>
      </c>
      <c r="C34" s="195"/>
      <c r="D34" s="154">
        <f t="shared" si="16"/>
        <v>0</v>
      </c>
      <c r="F34" s="154">
        <f t="shared" si="21"/>
        <v>2724630.6136464449</v>
      </c>
      <c r="H34" s="198">
        <v>0</v>
      </c>
      <c r="J34" s="152">
        <f t="shared" si="17"/>
        <v>43374</v>
      </c>
      <c r="L34" s="195"/>
      <c r="M34" s="154">
        <f t="shared" si="18"/>
        <v>0</v>
      </c>
      <c r="O34" s="154">
        <f t="shared" si="19"/>
        <v>64488.67841386934</v>
      </c>
      <c r="Q34" s="155">
        <f t="shared" si="22"/>
        <v>0</v>
      </c>
    </row>
    <row r="35" spans="1:17" hidden="1">
      <c r="A35" s="152">
        <f t="shared" si="20"/>
        <v>43405</v>
      </c>
      <c r="C35" s="195"/>
      <c r="D35" s="154">
        <f t="shared" si="16"/>
        <v>0</v>
      </c>
      <c r="E35" s="23"/>
      <c r="F35" s="154">
        <f t="shared" si="21"/>
        <v>2724630.6136464449</v>
      </c>
      <c r="H35" s="155">
        <f t="shared" si="23"/>
        <v>0</v>
      </c>
      <c r="J35" s="152">
        <f t="shared" si="17"/>
        <v>43405</v>
      </c>
      <c r="L35" s="195"/>
      <c r="M35" s="154">
        <f t="shared" si="18"/>
        <v>0</v>
      </c>
      <c r="N35" s="23"/>
      <c r="O35" s="154">
        <f t="shared" si="19"/>
        <v>64488.67841386934</v>
      </c>
      <c r="Q35" s="155">
        <f t="shared" si="22"/>
        <v>0</v>
      </c>
    </row>
    <row r="36" spans="1:17" hidden="1">
      <c r="A36" s="152">
        <f t="shared" si="20"/>
        <v>43435</v>
      </c>
      <c r="B36" s="153"/>
      <c r="C36" s="195"/>
      <c r="D36" s="154">
        <f>(F35+(C36+E36)/2)*H36/12</f>
        <v>0</v>
      </c>
      <c r="E36" s="23"/>
      <c r="F36" s="154">
        <f t="shared" si="21"/>
        <v>2724630.6136464449</v>
      </c>
      <c r="H36" s="155">
        <f t="shared" si="23"/>
        <v>0</v>
      </c>
      <c r="J36" s="152">
        <f t="shared" si="17"/>
        <v>43435</v>
      </c>
      <c r="K36" s="153"/>
      <c r="L36" s="195"/>
      <c r="M36" s="154">
        <f t="shared" si="18"/>
        <v>0</v>
      </c>
      <c r="N36" s="23"/>
      <c r="O36" s="154">
        <f t="shared" si="19"/>
        <v>64488.67841386934</v>
      </c>
      <c r="Q36" s="155">
        <f t="shared" si="22"/>
        <v>0</v>
      </c>
    </row>
    <row r="37" spans="1:17">
      <c r="F37" s="154"/>
      <c r="O37" s="154"/>
    </row>
    <row r="38" spans="1:17">
      <c r="A38" s="74">
        <v>186338</v>
      </c>
      <c r="B38" s="74" t="s">
        <v>53</v>
      </c>
      <c r="C38" s="180" t="s">
        <v>108</v>
      </c>
      <c r="D38" s="180" t="s">
        <v>109</v>
      </c>
      <c r="E38" s="180"/>
      <c r="F38" s="154" t="s">
        <v>111</v>
      </c>
      <c r="H38" s="180" t="s">
        <v>109</v>
      </c>
      <c r="J38" s="74">
        <v>186338</v>
      </c>
      <c r="K38" s="74" t="s">
        <v>54</v>
      </c>
      <c r="L38" s="180" t="s">
        <v>108</v>
      </c>
      <c r="M38" s="180" t="s">
        <v>109</v>
      </c>
      <c r="N38" s="180"/>
      <c r="O38" s="154" t="s">
        <v>111</v>
      </c>
      <c r="Q38" s="180" t="s">
        <v>109</v>
      </c>
    </row>
    <row r="39" spans="1:17">
      <c r="C39" s="180" t="s">
        <v>112</v>
      </c>
      <c r="D39" s="180" t="s">
        <v>113</v>
      </c>
      <c r="E39" s="180" t="s">
        <v>114</v>
      </c>
      <c r="F39" s="154" t="s">
        <v>110</v>
      </c>
      <c r="H39" s="180" t="s">
        <v>115</v>
      </c>
      <c r="L39" s="180" t="s">
        <v>112</v>
      </c>
      <c r="M39" s="180" t="s">
        <v>113</v>
      </c>
      <c r="N39" s="180" t="s">
        <v>114</v>
      </c>
      <c r="O39" s="154" t="s">
        <v>110</v>
      </c>
      <c r="Q39" s="180" t="s">
        <v>115</v>
      </c>
    </row>
    <row r="40" spans="1:17" ht="14.45" customHeight="1">
      <c r="A40" s="152">
        <f>$A$24</f>
        <v>43070</v>
      </c>
      <c r="B40" s="153"/>
      <c r="C40" s="153"/>
      <c r="F40" s="154">
        <v>0</v>
      </c>
      <c r="J40" s="152">
        <f>A40</f>
        <v>43070</v>
      </c>
      <c r="K40" s="153"/>
      <c r="L40" s="153"/>
      <c r="O40" s="154">
        <v>0</v>
      </c>
    </row>
    <row r="41" spans="1:17" ht="14.45" customHeight="1">
      <c r="A41" s="152">
        <f>A40+31</f>
        <v>43101</v>
      </c>
      <c r="C41" s="195">
        <f>-'Accounting Balances'!F108</f>
        <v>577780.56999999995</v>
      </c>
      <c r="D41" s="154">
        <f t="shared" ref="D41:D52" si="24">(F40+(C41+E41)/2)*H41/12</f>
        <v>1023.1530927083332</v>
      </c>
      <c r="F41" s="154">
        <f t="shared" ref="F41:F52" si="25">F40+C41+D41+E41</f>
        <v>578803.72309270827</v>
      </c>
      <c r="H41" s="155">
        <f>H25</f>
        <v>4.2500000000000003E-2</v>
      </c>
      <c r="J41" s="152">
        <f t="shared" ref="J41:J52" si="26">A41</f>
        <v>43101</v>
      </c>
      <c r="L41" s="195">
        <f>-'Accounting Balances'!F116</f>
        <v>434401.73</v>
      </c>
      <c r="M41" s="154">
        <f t="shared" ref="M41:M52" si="27">(O40+(L41+N41)/2)*Q41/12</f>
        <v>769.25306354166662</v>
      </c>
      <c r="O41" s="154">
        <f t="shared" ref="O41:O52" si="28">O40+L41+M41+N41</f>
        <v>435170.98306354164</v>
      </c>
      <c r="Q41" s="155">
        <f t="shared" ref="Q41:Q52" si="29">H41</f>
        <v>4.2500000000000003E-2</v>
      </c>
    </row>
    <row r="42" spans="1:17" ht="14.45" customHeight="1">
      <c r="A42" s="152">
        <f t="shared" ref="A42:A52" si="30">A41+31</f>
        <v>43132</v>
      </c>
      <c r="C42" s="195">
        <f>-'Accounting Balances'!F109</f>
        <v>417892.39</v>
      </c>
      <c r="D42" s="154">
        <f t="shared" si="24"/>
        <v>2789.9476265783419</v>
      </c>
      <c r="F42" s="154">
        <f t="shared" si="25"/>
        <v>999486.06071928667</v>
      </c>
      <c r="H42" s="155">
        <f t="shared" ref="H42:H52" si="31">H26</f>
        <v>4.2500000000000003E-2</v>
      </c>
      <c r="J42" s="152">
        <f t="shared" si="26"/>
        <v>43132</v>
      </c>
      <c r="L42" s="195">
        <f>-'Accounting Balances'!F117</f>
        <v>-49990.09</v>
      </c>
      <c r="M42" s="154">
        <f t="shared" si="27"/>
        <v>1452.7064473083767</v>
      </c>
      <c r="O42" s="154">
        <f t="shared" si="28"/>
        <v>386633.59951084998</v>
      </c>
      <c r="Q42" s="155">
        <f t="shared" si="29"/>
        <v>4.2500000000000003E-2</v>
      </c>
    </row>
    <row r="43" spans="1:17" ht="14.45" customHeight="1">
      <c r="A43" s="152">
        <f t="shared" si="30"/>
        <v>43163</v>
      </c>
      <c r="C43" s="195">
        <f>-'Accounting Balances'!F110</f>
        <v>177792.53</v>
      </c>
      <c r="D43" s="154">
        <f t="shared" si="24"/>
        <v>3854.687403589141</v>
      </c>
      <c r="F43" s="154">
        <f t="shared" si="25"/>
        <v>1181133.2781228758</v>
      </c>
      <c r="H43" s="155">
        <f t="shared" si="31"/>
        <v>4.2500000000000003E-2</v>
      </c>
      <c r="J43" s="152">
        <f t="shared" si="26"/>
        <v>43163</v>
      </c>
      <c r="L43" s="195">
        <f>-'Accounting Balances'!F118</f>
        <v>176077.59</v>
      </c>
      <c r="M43" s="154">
        <f t="shared" si="27"/>
        <v>1681.131397225927</v>
      </c>
      <c r="O43" s="154">
        <f t="shared" si="28"/>
        <v>564392.3209080759</v>
      </c>
      <c r="Q43" s="155">
        <f t="shared" si="29"/>
        <v>4.2500000000000003E-2</v>
      </c>
    </row>
    <row r="44" spans="1:17" ht="14.45" hidden="1" customHeight="1">
      <c r="A44" s="152">
        <f t="shared" si="30"/>
        <v>43194</v>
      </c>
      <c r="C44" s="195"/>
      <c r="D44" s="154">
        <f>(F43+(C44+E44)/2)*H44/12</f>
        <v>0</v>
      </c>
      <c r="F44" s="154">
        <f t="shared" si="25"/>
        <v>1181133.2781228758</v>
      </c>
      <c r="H44" s="155">
        <f t="shared" si="31"/>
        <v>0</v>
      </c>
      <c r="J44" s="152">
        <f t="shared" si="26"/>
        <v>43194</v>
      </c>
      <c r="L44" s="195"/>
      <c r="M44" s="154">
        <f t="shared" si="27"/>
        <v>0</v>
      </c>
      <c r="O44" s="154">
        <f t="shared" si="28"/>
        <v>564392.3209080759</v>
      </c>
      <c r="Q44" s="155">
        <f t="shared" si="29"/>
        <v>0</v>
      </c>
    </row>
    <row r="45" spans="1:17" ht="14.45" hidden="1" customHeight="1">
      <c r="A45" s="152">
        <f t="shared" si="30"/>
        <v>43225</v>
      </c>
      <c r="C45" s="195"/>
      <c r="D45" s="154">
        <f>(F44+(C45+E45)/2)*H45/12</f>
        <v>0</v>
      </c>
      <c r="F45" s="154">
        <f t="shared" si="25"/>
        <v>1181133.2781228758</v>
      </c>
      <c r="H45" s="155">
        <f t="shared" si="31"/>
        <v>0</v>
      </c>
      <c r="J45" s="152">
        <f t="shared" si="26"/>
        <v>43225</v>
      </c>
      <c r="L45" s="195"/>
      <c r="M45" s="154">
        <f t="shared" si="27"/>
        <v>0</v>
      </c>
      <c r="O45" s="154">
        <f t="shared" si="28"/>
        <v>564392.3209080759</v>
      </c>
      <c r="Q45" s="155">
        <f t="shared" si="29"/>
        <v>0</v>
      </c>
    </row>
    <row r="46" spans="1:17" ht="14.45" hidden="1" customHeight="1">
      <c r="A46" s="152">
        <f t="shared" si="30"/>
        <v>43256</v>
      </c>
      <c r="C46" s="195"/>
      <c r="D46" s="154">
        <f t="shared" si="24"/>
        <v>0</v>
      </c>
      <c r="F46" s="154">
        <f t="shared" si="25"/>
        <v>1181133.2781228758</v>
      </c>
      <c r="H46" s="155">
        <f t="shared" si="31"/>
        <v>0</v>
      </c>
      <c r="J46" s="152">
        <f t="shared" si="26"/>
        <v>43256</v>
      </c>
      <c r="L46" s="195"/>
      <c r="M46" s="154">
        <f>(O45+(L46+N46)/2)*Q46/12</f>
        <v>0</v>
      </c>
      <c r="O46" s="154">
        <f t="shared" si="28"/>
        <v>564392.3209080759</v>
      </c>
      <c r="Q46" s="155">
        <f t="shared" si="29"/>
        <v>0</v>
      </c>
    </row>
    <row r="47" spans="1:17" ht="14.45" hidden="1" customHeight="1">
      <c r="A47" s="152">
        <f t="shared" si="30"/>
        <v>43287</v>
      </c>
      <c r="C47" s="195"/>
      <c r="D47" s="154">
        <f>(F46+(C47+E47)/2)*H47/12</f>
        <v>0</v>
      </c>
      <c r="F47" s="154">
        <f t="shared" si="25"/>
        <v>1181133.2781228758</v>
      </c>
      <c r="H47" s="155">
        <f t="shared" si="31"/>
        <v>0</v>
      </c>
      <c r="J47" s="152">
        <f t="shared" si="26"/>
        <v>43287</v>
      </c>
      <c r="L47" s="195"/>
      <c r="M47" s="154">
        <f t="shared" si="27"/>
        <v>0</v>
      </c>
      <c r="O47" s="154">
        <f t="shared" si="28"/>
        <v>564392.3209080759</v>
      </c>
      <c r="Q47" s="155">
        <f t="shared" si="29"/>
        <v>0</v>
      </c>
    </row>
    <row r="48" spans="1:17" ht="14.45" hidden="1" customHeight="1">
      <c r="A48" s="152">
        <f t="shared" si="30"/>
        <v>43318</v>
      </c>
      <c r="C48" s="195"/>
      <c r="D48" s="154">
        <f>(F47+(C48+E48)/2)*H48/12</f>
        <v>0</v>
      </c>
      <c r="F48" s="154">
        <f t="shared" si="25"/>
        <v>1181133.2781228758</v>
      </c>
      <c r="H48" s="155">
        <f t="shared" si="31"/>
        <v>0</v>
      </c>
      <c r="J48" s="152">
        <f t="shared" si="26"/>
        <v>43318</v>
      </c>
      <c r="L48" s="195"/>
      <c r="M48" s="154">
        <f t="shared" si="27"/>
        <v>0</v>
      </c>
      <c r="O48" s="154">
        <f t="shared" si="28"/>
        <v>564392.3209080759</v>
      </c>
      <c r="Q48" s="155">
        <f t="shared" si="29"/>
        <v>0</v>
      </c>
    </row>
    <row r="49" spans="1:17" hidden="1">
      <c r="A49" s="152">
        <f t="shared" si="30"/>
        <v>43349</v>
      </c>
      <c r="C49" s="195"/>
      <c r="D49" s="154">
        <f>(F48+(C49+E49)/2)*H49/12</f>
        <v>0</v>
      </c>
      <c r="F49" s="154">
        <f t="shared" si="25"/>
        <v>1181133.2781228758</v>
      </c>
      <c r="H49" s="155">
        <f t="shared" si="31"/>
        <v>0</v>
      </c>
      <c r="J49" s="152">
        <f t="shared" si="26"/>
        <v>43349</v>
      </c>
      <c r="L49" s="195"/>
      <c r="M49" s="154">
        <f t="shared" si="27"/>
        <v>0</v>
      </c>
      <c r="O49" s="154">
        <f t="shared" si="28"/>
        <v>564392.3209080759</v>
      </c>
      <c r="Q49" s="155">
        <f t="shared" si="29"/>
        <v>0</v>
      </c>
    </row>
    <row r="50" spans="1:17" hidden="1">
      <c r="A50" s="152">
        <f t="shared" si="30"/>
        <v>43380</v>
      </c>
      <c r="C50" s="195"/>
      <c r="D50" s="154">
        <f t="shared" si="24"/>
        <v>0</v>
      </c>
      <c r="F50" s="154">
        <f t="shared" si="25"/>
        <v>1181133.2781228758</v>
      </c>
      <c r="H50" s="155">
        <f t="shared" si="31"/>
        <v>0</v>
      </c>
      <c r="J50" s="152">
        <f t="shared" si="26"/>
        <v>43380</v>
      </c>
      <c r="L50" s="195"/>
      <c r="M50" s="154">
        <f t="shared" si="27"/>
        <v>0</v>
      </c>
      <c r="O50" s="154">
        <f t="shared" si="28"/>
        <v>564392.3209080759</v>
      </c>
      <c r="Q50" s="155">
        <f t="shared" si="29"/>
        <v>0</v>
      </c>
    </row>
    <row r="51" spans="1:17" hidden="1">
      <c r="A51" s="152">
        <f t="shared" si="30"/>
        <v>43411</v>
      </c>
      <c r="C51" s="195"/>
      <c r="D51" s="154">
        <f t="shared" si="24"/>
        <v>0</v>
      </c>
      <c r="E51" s="23"/>
      <c r="F51" s="154">
        <f t="shared" si="25"/>
        <v>1181133.2781228758</v>
      </c>
      <c r="H51" s="155">
        <f t="shared" si="31"/>
        <v>0</v>
      </c>
      <c r="J51" s="152">
        <f t="shared" si="26"/>
        <v>43411</v>
      </c>
      <c r="L51" s="196"/>
      <c r="M51" s="154">
        <f t="shared" si="27"/>
        <v>0</v>
      </c>
      <c r="N51" s="23"/>
      <c r="O51" s="154">
        <f t="shared" si="28"/>
        <v>564392.3209080759</v>
      </c>
      <c r="Q51" s="155">
        <f t="shared" si="29"/>
        <v>0</v>
      </c>
    </row>
    <row r="52" spans="1:17" hidden="1">
      <c r="A52" s="152">
        <f t="shared" si="30"/>
        <v>43442</v>
      </c>
      <c r="B52" s="153"/>
      <c r="C52" s="195"/>
      <c r="D52" s="154">
        <f t="shared" si="24"/>
        <v>0</v>
      </c>
      <c r="E52" s="23"/>
      <c r="F52" s="154">
        <f t="shared" si="25"/>
        <v>1181133.2781228758</v>
      </c>
      <c r="H52" s="155">
        <f t="shared" si="31"/>
        <v>0</v>
      </c>
      <c r="J52" s="152">
        <f t="shared" si="26"/>
        <v>43442</v>
      </c>
      <c r="K52" s="153"/>
      <c r="L52" s="195"/>
      <c r="M52" s="154">
        <f t="shared" si="27"/>
        <v>0</v>
      </c>
      <c r="N52" s="23"/>
      <c r="O52" s="154">
        <f t="shared" si="28"/>
        <v>564392.3209080759</v>
      </c>
      <c r="Q52" s="155">
        <f t="shared" si="29"/>
        <v>0</v>
      </c>
    </row>
    <row r="53" spans="1:17">
      <c r="F53" s="154"/>
      <c r="O53" s="154"/>
    </row>
    <row r="54" spans="1:17">
      <c r="A54" s="74">
        <v>182329</v>
      </c>
      <c r="B54" s="74" t="s">
        <v>53</v>
      </c>
      <c r="C54" s="180" t="s">
        <v>108</v>
      </c>
      <c r="D54" s="180" t="s">
        <v>109</v>
      </c>
      <c r="E54" s="180"/>
      <c r="F54" s="154" t="s">
        <v>111</v>
      </c>
      <c r="H54" s="180" t="s">
        <v>109</v>
      </c>
      <c r="J54" s="74">
        <v>182329</v>
      </c>
      <c r="K54" s="74" t="s">
        <v>54</v>
      </c>
      <c r="L54" s="180" t="s">
        <v>108</v>
      </c>
      <c r="M54" s="180" t="s">
        <v>109</v>
      </c>
      <c r="N54" s="180"/>
      <c r="O54" s="154" t="s">
        <v>111</v>
      </c>
      <c r="Q54" s="180" t="s">
        <v>109</v>
      </c>
    </row>
    <row r="55" spans="1:17">
      <c r="C55" s="180" t="s">
        <v>112</v>
      </c>
      <c r="D55" s="180" t="s">
        <v>113</v>
      </c>
      <c r="E55" s="180" t="s">
        <v>114</v>
      </c>
      <c r="F55" s="154" t="s">
        <v>110</v>
      </c>
      <c r="H55" s="180" t="s">
        <v>115</v>
      </c>
      <c r="L55" s="180" t="s">
        <v>112</v>
      </c>
      <c r="M55" s="180" t="s">
        <v>113</v>
      </c>
      <c r="N55" s="180" t="s">
        <v>114</v>
      </c>
      <c r="O55" s="154" t="s">
        <v>110</v>
      </c>
      <c r="Q55" s="180" t="s">
        <v>115</v>
      </c>
    </row>
    <row r="56" spans="1:17" ht="14.45" customHeight="1">
      <c r="A56" s="152">
        <f>$A$24</f>
        <v>43070</v>
      </c>
      <c r="B56" s="153"/>
      <c r="C56" s="153"/>
      <c r="F56" s="195">
        <f>'Accounting Balances'!E7</f>
        <v>-2092789.89</v>
      </c>
      <c r="J56" s="152">
        <f>A56</f>
        <v>43070</v>
      </c>
      <c r="K56" s="153"/>
      <c r="L56" s="153"/>
      <c r="O56" s="195">
        <f>'Accounting Balances'!E11</f>
        <v>-1972082.04</v>
      </c>
    </row>
    <row r="57" spans="1:17" ht="14.45" customHeight="1">
      <c r="A57" s="178" t="s">
        <v>150</v>
      </c>
      <c r="B57" s="153"/>
      <c r="C57" s="153"/>
      <c r="F57" s="201">
        <v>-534331</v>
      </c>
      <c r="J57" s="178" t="str">
        <f t="shared" ref="J57:J69" si="32">A57</f>
        <v>Provision for Rate Refund</v>
      </c>
      <c r="K57" s="153"/>
      <c r="L57" s="153"/>
      <c r="O57" s="201">
        <v>-1818697</v>
      </c>
    </row>
    <row r="58" spans="1:17" ht="14.45" customHeight="1">
      <c r="A58" s="152">
        <f>A56+31</f>
        <v>43101</v>
      </c>
      <c r="C58" s="195"/>
      <c r="D58" s="154">
        <f>(F56+F$57+(C58+E58)/2)*H58/12</f>
        <v>-9304.3864854166659</v>
      </c>
      <c r="F58" s="154">
        <f>F56+C58+D58+E58</f>
        <v>-2102094.2764854166</v>
      </c>
      <c r="H58" s="155">
        <f t="shared" ref="H58:H69" si="33">H25</f>
        <v>4.2500000000000003E-2</v>
      </c>
      <c r="J58" s="152">
        <f t="shared" si="32"/>
        <v>43101</v>
      </c>
      <c r="L58" s="195"/>
      <c r="M58" s="154">
        <f>(O56+O$57+(L58+N58)/2)*Q58/12</f>
        <v>-13425.675766666667</v>
      </c>
      <c r="O58" s="154">
        <f>O56+L58+M58+N58</f>
        <v>-1985507.7157666667</v>
      </c>
      <c r="Q58" s="155">
        <f t="shared" ref="Q58:Q69" si="34">H58</f>
        <v>4.2500000000000003E-2</v>
      </c>
    </row>
    <row r="59" spans="1:17" ht="14.45" customHeight="1">
      <c r="A59" s="152">
        <f t="shared" ref="A59:A69" si="35">A58+31</f>
        <v>43132</v>
      </c>
      <c r="C59" s="195"/>
      <c r="D59" s="154">
        <f>(F58+F$57+(C59+E59)/2)*H59/12</f>
        <v>-9337.339520885851</v>
      </c>
      <c r="F59" s="154">
        <f>F58+C59+D59+E59</f>
        <v>-2111431.6160063026</v>
      </c>
      <c r="H59" s="155">
        <f t="shared" si="33"/>
        <v>4.2500000000000003E-2</v>
      </c>
      <c r="J59" s="152">
        <f t="shared" si="32"/>
        <v>43132</v>
      </c>
      <c r="L59" s="195"/>
      <c r="M59" s="154">
        <f>(O58+O$57+(L59+N59)/2)*Q59/12</f>
        <v>-13473.225035006944</v>
      </c>
      <c r="O59" s="154">
        <f t="shared" ref="O59:O69" si="36">O58+L59+M59+N59</f>
        <v>-1998980.9408016736</v>
      </c>
      <c r="Q59" s="155">
        <f t="shared" si="34"/>
        <v>4.2500000000000003E-2</v>
      </c>
    </row>
    <row r="60" spans="1:17" ht="14.45" customHeight="1">
      <c r="A60" s="152">
        <f t="shared" si="35"/>
        <v>43163</v>
      </c>
      <c r="C60" s="195"/>
      <c r="D60" s="154">
        <f t="shared" ref="D60:D65" si="37">(F59+F$57+(C60+E60)/2)*H60/12</f>
        <v>-9370.4092650223229</v>
      </c>
      <c r="F60" s="154">
        <f t="shared" ref="F60:F69" si="38">F59+C60+D60+E60</f>
        <v>-2120802.0252713249</v>
      </c>
      <c r="H60" s="155">
        <f t="shared" si="33"/>
        <v>4.2500000000000003E-2</v>
      </c>
      <c r="J60" s="152">
        <f t="shared" si="32"/>
        <v>43163</v>
      </c>
      <c r="L60" s="195"/>
      <c r="M60" s="154">
        <f t="shared" ref="M60:M65" si="39">(O59+O$57+(L60+N60)/2)*Q60/12</f>
        <v>-13520.942707005926</v>
      </c>
      <c r="O60" s="154">
        <f t="shared" si="36"/>
        <v>-2012501.8835086795</v>
      </c>
      <c r="Q60" s="155">
        <f t="shared" si="34"/>
        <v>4.2500000000000003E-2</v>
      </c>
    </row>
    <row r="61" spans="1:17" ht="14.45" hidden="1" customHeight="1">
      <c r="A61" s="152">
        <f t="shared" si="35"/>
        <v>43194</v>
      </c>
      <c r="C61" s="154"/>
      <c r="D61" s="154">
        <f t="shared" si="37"/>
        <v>0</v>
      </c>
      <c r="F61" s="154">
        <f t="shared" si="38"/>
        <v>-2120802.0252713249</v>
      </c>
      <c r="H61" s="155">
        <f t="shared" si="33"/>
        <v>0</v>
      </c>
      <c r="J61" s="152">
        <f t="shared" si="32"/>
        <v>43194</v>
      </c>
      <c r="L61" s="154"/>
      <c r="M61" s="154">
        <f t="shared" si="39"/>
        <v>0</v>
      </c>
      <c r="O61" s="154">
        <f t="shared" si="36"/>
        <v>-2012501.8835086795</v>
      </c>
      <c r="Q61" s="155">
        <f t="shared" si="34"/>
        <v>0</v>
      </c>
    </row>
    <row r="62" spans="1:17" ht="14.45" hidden="1" customHeight="1">
      <c r="A62" s="152">
        <f t="shared" si="35"/>
        <v>43225</v>
      </c>
      <c r="C62" s="154"/>
      <c r="D62" s="154">
        <f t="shared" si="37"/>
        <v>0</v>
      </c>
      <c r="F62" s="154">
        <f t="shared" si="38"/>
        <v>-2120802.0252713249</v>
      </c>
      <c r="H62" s="155">
        <f t="shared" si="33"/>
        <v>0</v>
      </c>
      <c r="J62" s="152">
        <f t="shared" si="32"/>
        <v>43225</v>
      </c>
      <c r="L62" s="154"/>
      <c r="M62" s="154">
        <f t="shared" si="39"/>
        <v>0</v>
      </c>
      <c r="O62" s="154">
        <f t="shared" si="36"/>
        <v>-2012501.8835086795</v>
      </c>
      <c r="Q62" s="155">
        <f t="shared" si="34"/>
        <v>0</v>
      </c>
    </row>
    <row r="63" spans="1:17" ht="14.45" hidden="1" customHeight="1">
      <c r="A63" s="152">
        <f t="shared" si="35"/>
        <v>43256</v>
      </c>
      <c r="C63" s="154"/>
      <c r="D63" s="154">
        <f t="shared" si="37"/>
        <v>0</v>
      </c>
      <c r="F63" s="154">
        <f t="shared" si="38"/>
        <v>-2120802.0252713249</v>
      </c>
      <c r="H63" s="155">
        <f t="shared" si="33"/>
        <v>0</v>
      </c>
      <c r="J63" s="152">
        <f t="shared" si="32"/>
        <v>43256</v>
      </c>
      <c r="L63" s="154"/>
      <c r="M63" s="154">
        <f t="shared" si="39"/>
        <v>0</v>
      </c>
      <c r="O63" s="154">
        <f t="shared" si="36"/>
        <v>-2012501.8835086795</v>
      </c>
      <c r="Q63" s="155">
        <f t="shared" si="34"/>
        <v>0</v>
      </c>
    </row>
    <row r="64" spans="1:17" ht="14.45" hidden="1" customHeight="1">
      <c r="A64" s="152">
        <f t="shared" si="35"/>
        <v>43287</v>
      </c>
      <c r="C64" s="154"/>
      <c r="D64" s="154">
        <f t="shared" si="37"/>
        <v>0</v>
      </c>
      <c r="F64" s="154">
        <f t="shared" si="38"/>
        <v>-2120802.0252713249</v>
      </c>
      <c r="H64" s="155">
        <f t="shared" si="33"/>
        <v>0</v>
      </c>
      <c r="J64" s="152">
        <f t="shared" si="32"/>
        <v>43287</v>
      </c>
      <c r="L64" s="154"/>
      <c r="M64" s="154">
        <f t="shared" si="39"/>
        <v>0</v>
      </c>
      <c r="O64" s="154">
        <f t="shared" si="36"/>
        <v>-2012501.8835086795</v>
      </c>
      <c r="Q64" s="155">
        <f t="shared" si="34"/>
        <v>0</v>
      </c>
    </row>
    <row r="65" spans="1:17" ht="14.45" hidden="1" customHeight="1">
      <c r="A65" s="152">
        <f>A64+31</f>
        <v>43318</v>
      </c>
      <c r="C65" s="154"/>
      <c r="D65" s="154">
        <f t="shared" si="37"/>
        <v>0</v>
      </c>
      <c r="F65" s="154">
        <f>F64+F57+C65+D65+E65</f>
        <v>-2655133.0252713249</v>
      </c>
      <c r="H65" s="155">
        <f t="shared" si="33"/>
        <v>0</v>
      </c>
      <c r="J65" s="152">
        <f t="shared" si="32"/>
        <v>43318</v>
      </c>
      <c r="L65" s="154"/>
      <c r="M65" s="154">
        <f t="shared" si="39"/>
        <v>0</v>
      </c>
      <c r="O65" s="154">
        <f>O64+O57+L65+M65+N65</f>
        <v>-3831198.8835086795</v>
      </c>
      <c r="Q65" s="155">
        <f t="shared" si="34"/>
        <v>0</v>
      </c>
    </row>
    <row r="66" spans="1:17" hidden="1">
      <c r="A66" s="152">
        <f t="shared" si="35"/>
        <v>43349</v>
      </c>
      <c r="C66" s="154"/>
      <c r="D66" s="154">
        <f>(F65+(C66+E66)/2)*H66/12</f>
        <v>0</v>
      </c>
      <c r="F66" s="154">
        <f>F65+C66+D66+E66</f>
        <v>-2655133.0252713249</v>
      </c>
      <c r="H66" s="155">
        <f t="shared" si="33"/>
        <v>0</v>
      </c>
      <c r="J66" s="152">
        <f t="shared" si="32"/>
        <v>43349</v>
      </c>
      <c r="L66" s="154"/>
      <c r="M66" s="154">
        <f>(O65+(L66+N66)/2)*Q66/12</f>
        <v>0</v>
      </c>
      <c r="O66" s="154">
        <f>O65+L66+M66+N66</f>
        <v>-3831198.8835086795</v>
      </c>
      <c r="Q66" s="155">
        <f t="shared" si="34"/>
        <v>0</v>
      </c>
    </row>
    <row r="67" spans="1:17" hidden="1">
      <c r="A67" s="152">
        <f t="shared" si="35"/>
        <v>43380</v>
      </c>
      <c r="B67" s="74" t="s">
        <v>144</v>
      </c>
      <c r="C67" s="154"/>
      <c r="D67" s="154">
        <f>(F66+(C67+E67)/2)*H67/12</f>
        <v>0</v>
      </c>
      <c r="F67" s="154">
        <f t="shared" si="38"/>
        <v>-2655133.0252713249</v>
      </c>
      <c r="H67" s="155">
        <f t="shared" si="33"/>
        <v>0</v>
      </c>
      <c r="J67" s="152">
        <f t="shared" si="32"/>
        <v>43380</v>
      </c>
      <c r="K67" s="74" t="s">
        <v>144</v>
      </c>
      <c r="L67" s="154"/>
      <c r="M67" s="154">
        <f>(O66+(L67+N67)/2)*Q67/12</f>
        <v>0</v>
      </c>
      <c r="O67" s="154">
        <f t="shared" si="36"/>
        <v>-3831198.8835086795</v>
      </c>
      <c r="Q67" s="155">
        <f t="shared" si="34"/>
        <v>0</v>
      </c>
    </row>
    <row r="68" spans="1:17" hidden="1">
      <c r="A68" s="152">
        <f t="shared" si="35"/>
        <v>43411</v>
      </c>
      <c r="D68" s="154">
        <f t="shared" ref="D68:D69" si="40">(F67+(C68+E68)/2)*H68/12</f>
        <v>0</v>
      </c>
      <c r="E68" s="190"/>
      <c r="F68" s="154">
        <f t="shared" si="38"/>
        <v>-2655133.0252713249</v>
      </c>
      <c r="H68" s="155">
        <f t="shared" si="33"/>
        <v>0</v>
      </c>
      <c r="J68" s="152">
        <f t="shared" si="32"/>
        <v>43411</v>
      </c>
      <c r="M68" s="154">
        <f>(O67+(L68+N68)/2)*Q68/12</f>
        <v>0</v>
      </c>
      <c r="N68" s="190"/>
      <c r="O68" s="154">
        <f>O67+L68+M68+N68</f>
        <v>-3831198.8835086795</v>
      </c>
      <c r="Q68" s="155">
        <f t="shared" si="34"/>
        <v>0</v>
      </c>
    </row>
    <row r="69" spans="1:17" hidden="1">
      <c r="A69" s="152">
        <f t="shared" si="35"/>
        <v>43442</v>
      </c>
      <c r="B69" s="153"/>
      <c r="C69" s="154"/>
      <c r="D69" s="154">
        <f t="shared" si="40"/>
        <v>0</v>
      </c>
      <c r="E69" s="23"/>
      <c r="F69" s="154">
        <f t="shared" si="38"/>
        <v>-2655133.0252713249</v>
      </c>
      <c r="H69" s="155">
        <f t="shared" si="33"/>
        <v>0</v>
      </c>
      <c r="J69" s="152">
        <f t="shared" si="32"/>
        <v>43442</v>
      </c>
      <c r="K69" s="153"/>
      <c r="L69" s="154"/>
      <c r="M69" s="154">
        <f t="shared" ref="M69" si="41">(O68+(L69+N69)/2)*Q69/12</f>
        <v>0</v>
      </c>
      <c r="N69" s="23"/>
      <c r="O69" s="154">
        <f t="shared" si="36"/>
        <v>-3831198.8835086795</v>
      </c>
      <c r="Q69" s="155">
        <f t="shared" si="34"/>
        <v>0</v>
      </c>
    </row>
    <row r="70" spans="1:17" ht="30.75" hidden="1" customHeight="1">
      <c r="B70" s="159" t="s">
        <v>144</v>
      </c>
      <c r="C70" s="219" t="s">
        <v>168</v>
      </c>
      <c r="D70" s="219"/>
      <c r="E70" s="219"/>
      <c r="F70" s="219"/>
      <c r="G70" s="219"/>
      <c r="H70" s="219"/>
      <c r="K70" s="159" t="s">
        <v>144</v>
      </c>
      <c r="L70" s="219" t="s">
        <v>168</v>
      </c>
      <c r="M70" s="219"/>
      <c r="N70" s="219"/>
      <c r="O70" s="219"/>
      <c r="P70" s="219"/>
      <c r="Q70" s="219"/>
    </row>
    <row r="71" spans="1:17" ht="14.45" customHeight="1">
      <c r="B71" s="159"/>
      <c r="C71" s="179"/>
      <c r="D71" s="179"/>
      <c r="E71" s="179"/>
      <c r="F71" s="179"/>
      <c r="G71" s="179"/>
      <c r="H71" s="179"/>
      <c r="O71" s="154"/>
    </row>
    <row r="72" spans="1:17">
      <c r="A72" s="74">
        <v>182339</v>
      </c>
      <c r="B72" s="74" t="s">
        <v>53</v>
      </c>
      <c r="C72" s="180" t="s">
        <v>108</v>
      </c>
      <c r="D72" s="180" t="s">
        <v>109</v>
      </c>
      <c r="E72" s="180"/>
      <c r="F72" s="154" t="s">
        <v>111</v>
      </c>
      <c r="H72" s="180" t="s">
        <v>109</v>
      </c>
      <c r="J72" s="74">
        <v>182339</v>
      </c>
      <c r="K72" s="74" t="s">
        <v>54</v>
      </c>
      <c r="L72" s="180" t="s">
        <v>108</v>
      </c>
      <c r="M72" s="180" t="s">
        <v>109</v>
      </c>
      <c r="N72" s="180"/>
      <c r="O72" s="154" t="s">
        <v>111</v>
      </c>
      <c r="Q72" s="180" t="s">
        <v>109</v>
      </c>
    </row>
    <row r="73" spans="1:17">
      <c r="C73" s="180" t="s">
        <v>112</v>
      </c>
      <c r="D73" s="180" t="s">
        <v>113</v>
      </c>
      <c r="E73" s="180" t="s">
        <v>114</v>
      </c>
      <c r="F73" s="154" t="s">
        <v>110</v>
      </c>
      <c r="H73" s="180" t="s">
        <v>115</v>
      </c>
      <c r="L73" s="180" t="s">
        <v>112</v>
      </c>
      <c r="M73" s="180" t="s">
        <v>113</v>
      </c>
      <c r="N73" s="180" t="s">
        <v>114</v>
      </c>
      <c r="O73" s="154" t="s">
        <v>110</v>
      </c>
      <c r="Q73" s="180" t="s">
        <v>115</v>
      </c>
    </row>
    <row r="74" spans="1:17" ht="14.45" customHeight="1">
      <c r="A74" s="152">
        <f>$A$24</f>
        <v>43070</v>
      </c>
      <c r="B74" s="153"/>
      <c r="C74" s="153"/>
      <c r="F74" s="195">
        <f>'Accounting Balances'!E16</f>
        <v>1735911.16</v>
      </c>
      <c r="J74" s="152">
        <f>A74</f>
        <v>43070</v>
      </c>
      <c r="K74" s="153"/>
      <c r="L74" s="153"/>
      <c r="O74" s="195">
        <f>'Accounting Balances'!E20</f>
        <v>840286.11</v>
      </c>
    </row>
    <row r="75" spans="1:17" ht="14.45" customHeight="1">
      <c r="A75" s="178" t="str">
        <f>A57</f>
        <v>Provision for Rate Refund</v>
      </c>
      <c r="B75" s="153"/>
      <c r="C75" s="153"/>
      <c r="F75" s="201">
        <v>-517098</v>
      </c>
      <c r="J75" s="178" t="str">
        <f t="shared" ref="J75:J87" si="42">A75</f>
        <v>Provision for Rate Refund</v>
      </c>
      <c r="K75" s="153"/>
      <c r="L75" s="153"/>
      <c r="O75" s="201">
        <v>-549574</v>
      </c>
    </row>
    <row r="76" spans="1:17" ht="14.45" customHeight="1">
      <c r="A76" s="152">
        <f>A74+31</f>
        <v>43101</v>
      </c>
      <c r="C76" s="154"/>
      <c r="D76" s="154">
        <f>(F74+F$75+(C76+E76)/2)*H76/12</f>
        <v>4316.629941666667</v>
      </c>
      <c r="F76" s="154">
        <f>F74+C76+D76+E76</f>
        <v>1740227.7899416666</v>
      </c>
      <c r="H76" s="155">
        <f t="shared" ref="H76:H87" si="43">H25</f>
        <v>4.2500000000000003E-2</v>
      </c>
      <c r="J76" s="152">
        <f t="shared" si="42"/>
        <v>43101</v>
      </c>
      <c r="L76" s="154"/>
      <c r="M76" s="154">
        <f>(O74+O$75+(L76+N76)/2)*Q76/12</f>
        <v>1029.6053895833334</v>
      </c>
      <c r="O76" s="154">
        <f>O74+L76+M76+N76</f>
        <v>841315.71538958338</v>
      </c>
      <c r="Q76" s="155">
        <f t="shared" ref="Q76:Q87" si="44">H76</f>
        <v>4.2500000000000003E-2</v>
      </c>
    </row>
    <row r="77" spans="1:17" ht="14.45" customHeight="1">
      <c r="A77" s="152">
        <f t="shared" ref="A77:A87" si="45">A76+31</f>
        <v>43132</v>
      </c>
      <c r="C77" s="154"/>
      <c r="D77" s="154">
        <f>(F76+F$75+(C77+E77)/2)*H77/12</f>
        <v>4331.9180060434028</v>
      </c>
      <c r="F77" s="154">
        <f>F76+C77+D77+E77</f>
        <v>1744559.7079477101</v>
      </c>
      <c r="H77" s="155">
        <f t="shared" si="43"/>
        <v>4.2500000000000003E-2</v>
      </c>
      <c r="J77" s="152">
        <f t="shared" si="42"/>
        <v>43132</v>
      </c>
      <c r="L77" s="154"/>
      <c r="M77" s="154">
        <f>(O76+O$75+(L77+N77)/2)*Q77/12</f>
        <v>1033.2519086714412</v>
      </c>
      <c r="O77" s="154">
        <f>O76+L77+M77+N77</f>
        <v>842348.96729825484</v>
      </c>
      <c r="Q77" s="155">
        <f t="shared" si="44"/>
        <v>4.2500000000000003E-2</v>
      </c>
    </row>
    <row r="78" spans="1:17" ht="14.45" customHeight="1">
      <c r="A78" s="152">
        <f t="shared" si="45"/>
        <v>43163</v>
      </c>
      <c r="C78" s="154"/>
      <c r="D78" s="154">
        <f t="shared" ref="D78:D83" si="46">(F77+F$75+(C78+E78)/2)*H78/12</f>
        <v>4347.2602156481398</v>
      </c>
      <c r="F78" s="154">
        <f>F77+C78+D78+E78</f>
        <v>1748906.9681633583</v>
      </c>
      <c r="H78" s="155">
        <f t="shared" si="43"/>
        <v>4.2500000000000003E-2</v>
      </c>
      <c r="J78" s="152">
        <f t="shared" si="42"/>
        <v>43163</v>
      </c>
      <c r="L78" s="154"/>
      <c r="M78" s="154">
        <f t="shared" ref="M78:M83" si="47">(O77+O$75+(L78+N78)/2)*Q78/12</f>
        <v>1036.9113425146527</v>
      </c>
      <c r="O78" s="154">
        <f>O77+L78+M78+N78</f>
        <v>843385.87864076952</v>
      </c>
      <c r="Q78" s="155">
        <f t="shared" si="44"/>
        <v>4.2500000000000003E-2</v>
      </c>
    </row>
    <row r="79" spans="1:17" ht="14.45" hidden="1" customHeight="1">
      <c r="A79" s="152">
        <f t="shared" si="45"/>
        <v>43194</v>
      </c>
      <c r="C79" s="154"/>
      <c r="D79" s="154">
        <f t="shared" si="46"/>
        <v>0</v>
      </c>
      <c r="F79" s="154">
        <f t="shared" ref="F79:F87" si="48">F78+C79+D79+E79</f>
        <v>1748906.9681633583</v>
      </c>
      <c r="H79" s="155">
        <f t="shared" si="43"/>
        <v>0</v>
      </c>
      <c r="J79" s="152">
        <f t="shared" si="42"/>
        <v>43194</v>
      </c>
      <c r="L79" s="154"/>
      <c r="M79" s="154">
        <f t="shared" si="47"/>
        <v>0</v>
      </c>
      <c r="O79" s="154">
        <f t="shared" ref="O79:O85" si="49">O78+L79+M79+N79</f>
        <v>843385.87864076952</v>
      </c>
      <c r="Q79" s="155">
        <f t="shared" si="44"/>
        <v>0</v>
      </c>
    </row>
    <row r="80" spans="1:17" ht="14.45" hidden="1" customHeight="1">
      <c r="A80" s="152">
        <f t="shared" si="45"/>
        <v>43225</v>
      </c>
      <c r="C80" s="154"/>
      <c r="D80" s="154">
        <f t="shared" si="46"/>
        <v>0</v>
      </c>
      <c r="F80" s="154">
        <f t="shared" si="48"/>
        <v>1748906.9681633583</v>
      </c>
      <c r="H80" s="155">
        <f t="shared" si="43"/>
        <v>0</v>
      </c>
      <c r="J80" s="152">
        <f t="shared" si="42"/>
        <v>43225</v>
      </c>
      <c r="L80" s="154"/>
      <c r="M80" s="154">
        <f t="shared" si="47"/>
        <v>0</v>
      </c>
      <c r="O80" s="154">
        <f t="shared" si="49"/>
        <v>843385.87864076952</v>
      </c>
      <c r="Q80" s="155">
        <f t="shared" si="44"/>
        <v>0</v>
      </c>
    </row>
    <row r="81" spans="1:17" ht="14.45" hidden="1" customHeight="1">
      <c r="A81" s="152">
        <f t="shared" si="45"/>
        <v>43256</v>
      </c>
      <c r="C81" s="154"/>
      <c r="D81" s="154">
        <f t="shared" si="46"/>
        <v>0</v>
      </c>
      <c r="F81" s="154">
        <f t="shared" si="48"/>
        <v>1748906.9681633583</v>
      </c>
      <c r="H81" s="155">
        <f t="shared" si="43"/>
        <v>0</v>
      </c>
      <c r="J81" s="152">
        <f t="shared" si="42"/>
        <v>43256</v>
      </c>
      <c r="L81" s="154"/>
      <c r="M81" s="154">
        <f t="shared" si="47"/>
        <v>0</v>
      </c>
      <c r="O81" s="154">
        <f t="shared" si="49"/>
        <v>843385.87864076952</v>
      </c>
      <c r="Q81" s="155">
        <f t="shared" si="44"/>
        <v>0</v>
      </c>
    </row>
    <row r="82" spans="1:17" ht="14.45" hidden="1" customHeight="1">
      <c r="A82" s="152">
        <f t="shared" si="45"/>
        <v>43287</v>
      </c>
      <c r="C82" s="154"/>
      <c r="D82" s="154">
        <f t="shared" si="46"/>
        <v>0</v>
      </c>
      <c r="F82" s="154">
        <f t="shared" si="48"/>
        <v>1748906.9681633583</v>
      </c>
      <c r="H82" s="155">
        <f t="shared" si="43"/>
        <v>0</v>
      </c>
      <c r="J82" s="152">
        <f t="shared" si="42"/>
        <v>43287</v>
      </c>
      <c r="L82" s="154"/>
      <c r="M82" s="154">
        <f t="shared" si="47"/>
        <v>0</v>
      </c>
      <c r="O82" s="154">
        <f t="shared" si="49"/>
        <v>843385.87864076952</v>
      </c>
      <c r="Q82" s="155">
        <f t="shared" si="44"/>
        <v>0</v>
      </c>
    </row>
    <row r="83" spans="1:17" ht="14.45" hidden="1" customHeight="1">
      <c r="A83" s="152">
        <f>A82+31</f>
        <v>43318</v>
      </c>
      <c r="C83" s="154"/>
      <c r="D83" s="154">
        <f t="shared" si="46"/>
        <v>0</v>
      </c>
      <c r="F83" s="154">
        <f>F82+F75+C83+D83+E83</f>
        <v>1231808.9681633583</v>
      </c>
      <c r="H83" s="155">
        <f t="shared" si="43"/>
        <v>0</v>
      </c>
      <c r="J83" s="152">
        <f t="shared" si="42"/>
        <v>43318</v>
      </c>
      <c r="L83" s="154"/>
      <c r="M83" s="154">
        <f t="shared" si="47"/>
        <v>0</v>
      </c>
      <c r="O83" s="154">
        <f>O82+O75+L83+M83+N83</f>
        <v>293811.87864076952</v>
      </c>
      <c r="Q83" s="155">
        <f t="shared" si="44"/>
        <v>0</v>
      </c>
    </row>
    <row r="84" spans="1:17" hidden="1">
      <c r="A84" s="152">
        <f t="shared" si="45"/>
        <v>43349</v>
      </c>
      <c r="C84" s="154"/>
      <c r="D84" s="154">
        <f>(F83+(C84+E84)/2)*H84/12</f>
        <v>0</v>
      </c>
      <c r="F84" s="154">
        <f t="shared" si="48"/>
        <v>1231808.9681633583</v>
      </c>
      <c r="H84" s="155">
        <f t="shared" si="43"/>
        <v>0</v>
      </c>
      <c r="J84" s="152">
        <f t="shared" si="42"/>
        <v>43349</v>
      </c>
      <c r="L84" s="154"/>
      <c r="M84" s="154">
        <f>(O83+(L84+N84)/2)*Q84/12</f>
        <v>0</v>
      </c>
      <c r="O84" s="154">
        <f>O83+L84+M84+N84</f>
        <v>293811.87864076952</v>
      </c>
      <c r="Q84" s="155">
        <f t="shared" si="44"/>
        <v>0</v>
      </c>
    </row>
    <row r="85" spans="1:17" hidden="1">
      <c r="A85" s="152">
        <f t="shared" si="45"/>
        <v>43380</v>
      </c>
      <c r="C85" s="154"/>
      <c r="D85" s="154">
        <f t="shared" ref="D85:D87" si="50">(F84+(C85+E85)/2)*H85/12</f>
        <v>0</v>
      </c>
      <c r="F85" s="154">
        <f t="shared" si="48"/>
        <v>1231808.9681633583</v>
      </c>
      <c r="H85" s="155">
        <f t="shared" si="43"/>
        <v>0</v>
      </c>
      <c r="J85" s="152">
        <f t="shared" si="42"/>
        <v>43380</v>
      </c>
      <c r="L85" s="154"/>
      <c r="M85" s="154">
        <f>(O84+(L85+N85)/2)*Q85/12</f>
        <v>0</v>
      </c>
      <c r="O85" s="154">
        <f t="shared" si="49"/>
        <v>293811.87864076952</v>
      </c>
      <c r="Q85" s="155">
        <f t="shared" si="44"/>
        <v>0</v>
      </c>
    </row>
    <row r="86" spans="1:17" hidden="1">
      <c r="A86" s="152">
        <f t="shared" si="45"/>
        <v>43411</v>
      </c>
      <c r="C86" s="154"/>
      <c r="D86" s="154">
        <f t="shared" si="50"/>
        <v>0</v>
      </c>
      <c r="E86" s="191"/>
      <c r="F86" s="154">
        <f t="shared" si="48"/>
        <v>1231808.9681633583</v>
      </c>
      <c r="H86" s="155">
        <f t="shared" si="43"/>
        <v>0</v>
      </c>
      <c r="J86" s="152">
        <f t="shared" si="42"/>
        <v>43411</v>
      </c>
      <c r="L86" s="154"/>
      <c r="M86" s="154">
        <f>(O85+(L86+N86)/2)*Q86/12</f>
        <v>0</v>
      </c>
      <c r="N86" s="192"/>
      <c r="O86" s="154">
        <f>O85+L86+M86+N86</f>
        <v>293811.87864076952</v>
      </c>
      <c r="Q86" s="155">
        <f t="shared" si="44"/>
        <v>0</v>
      </c>
    </row>
    <row r="87" spans="1:17" hidden="1">
      <c r="A87" s="152">
        <f t="shared" si="45"/>
        <v>43442</v>
      </c>
      <c r="C87" s="154"/>
      <c r="D87" s="154">
        <f t="shared" si="50"/>
        <v>0</v>
      </c>
      <c r="F87" s="154">
        <f t="shared" si="48"/>
        <v>1231808.9681633583</v>
      </c>
      <c r="H87" s="155">
        <f t="shared" si="43"/>
        <v>0</v>
      </c>
      <c r="J87" s="152">
        <f t="shared" si="42"/>
        <v>43442</v>
      </c>
      <c r="L87" s="154"/>
      <c r="M87" s="154">
        <f t="shared" ref="M87" si="51">(O86+(L87+N87)/2)*Q87/12</f>
        <v>0</v>
      </c>
      <c r="O87" s="154">
        <f t="shared" ref="O87" si="52">O86+L87+M87+N87</f>
        <v>293811.87864076952</v>
      </c>
      <c r="Q87" s="155">
        <f t="shared" si="44"/>
        <v>0</v>
      </c>
    </row>
    <row r="88" spans="1:17" ht="29.25" hidden="1" customHeight="1">
      <c r="A88" s="152"/>
      <c r="B88" s="159" t="s">
        <v>144</v>
      </c>
      <c r="C88" s="219" t="s">
        <v>168</v>
      </c>
      <c r="D88" s="219"/>
      <c r="E88" s="219"/>
      <c r="F88" s="219"/>
      <c r="G88" s="219"/>
      <c r="H88" s="219"/>
      <c r="J88" s="152"/>
      <c r="K88" s="159" t="s">
        <v>144</v>
      </c>
      <c r="L88" s="219" t="s">
        <v>168</v>
      </c>
      <c r="M88" s="219"/>
      <c r="N88" s="219"/>
      <c r="O88" s="219"/>
      <c r="P88" s="219"/>
      <c r="Q88" s="219"/>
    </row>
    <row r="89" spans="1:17" ht="14.45" customHeight="1">
      <c r="A89" s="152"/>
      <c r="B89" s="159"/>
      <c r="C89" s="179"/>
      <c r="D89" s="179"/>
      <c r="E89" s="179"/>
      <c r="F89" s="179"/>
      <c r="G89" s="179"/>
      <c r="H89" s="179"/>
      <c r="J89" s="152"/>
      <c r="L89" s="154"/>
      <c r="M89" s="154"/>
      <c r="O89" s="154"/>
      <c r="Q89" s="155"/>
    </row>
    <row r="90" spans="1:17">
      <c r="A90" s="74">
        <v>182328</v>
      </c>
      <c r="B90" s="74" t="s">
        <v>53</v>
      </c>
      <c r="C90" s="180" t="s">
        <v>108</v>
      </c>
      <c r="D90" s="180" t="s">
        <v>109</v>
      </c>
      <c r="E90" s="180"/>
      <c r="F90" s="154" t="s">
        <v>111</v>
      </c>
      <c r="H90" s="180" t="s">
        <v>109</v>
      </c>
      <c r="J90" s="74">
        <v>182328</v>
      </c>
      <c r="K90" s="74" t="s">
        <v>54</v>
      </c>
      <c r="L90" s="180" t="s">
        <v>108</v>
      </c>
      <c r="M90" s="180" t="s">
        <v>109</v>
      </c>
      <c r="N90" s="180"/>
      <c r="O90" s="154" t="s">
        <v>111</v>
      </c>
      <c r="Q90" s="180" t="s">
        <v>109</v>
      </c>
    </row>
    <row r="91" spans="1:17">
      <c r="C91" s="180" t="s">
        <v>112</v>
      </c>
      <c r="D91" s="180" t="s">
        <v>113</v>
      </c>
      <c r="E91" s="180" t="s">
        <v>114</v>
      </c>
      <c r="F91" s="154" t="s">
        <v>110</v>
      </c>
      <c r="H91" s="180" t="s">
        <v>115</v>
      </c>
      <c r="L91" s="180" t="s">
        <v>112</v>
      </c>
      <c r="M91" s="180" t="s">
        <v>113</v>
      </c>
      <c r="N91" s="180" t="s">
        <v>114</v>
      </c>
      <c r="O91" s="154" t="s">
        <v>110</v>
      </c>
      <c r="Q91" s="180" t="s">
        <v>115</v>
      </c>
    </row>
    <row r="92" spans="1:17" ht="14.45" customHeight="1">
      <c r="A92" s="152">
        <f>$A$24</f>
        <v>43070</v>
      </c>
      <c r="B92" s="153"/>
      <c r="C92" s="153"/>
      <c r="F92" s="154">
        <v>8212539.75</v>
      </c>
      <c r="J92" s="152">
        <f t="shared" ref="J92:J104" si="53">A92</f>
        <v>43070</v>
      </c>
      <c r="K92" s="153"/>
      <c r="L92" s="153"/>
      <c r="O92" s="154">
        <v>5237395.21</v>
      </c>
    </row>
    <row r="93" spans="1:17" ht="14.45" customHeight="1">
      <c r="A93" s="152">
        <f>A92+31</f>
        <v>43101</v>
      </c>
      <c r="C93" s="154"/>
      <c r="D93" s="154">
        <f t="shared" ref="D93:D96" si="54">(F92+(C93+E93)/2)*H93/12</f>
        <v>27027.925876041671</v>
      </c>
      <c r="E93" s="201">
        <f>-'Accounting Balances'!F127</f>
        <v>-1162250.77</v>
      </c>
      <c r="F93" s="158">
        <f t="shared" ref="F93:F98" si="55">F92+C93+D93+E93</f>
        <v>7077316.9058760423</v>
      </c>
      <c r="G93" s="39"/>
      <c r="H93" s="202">
        <f t="shared" ref="H93:H101" si="56">H25</f>
        <v>4.2500000000000003E-2</v>
      </c>
      <c r="I93" s="39"/>
      <c r="J93" s="203">
        <f t="shared" si="53"/>
        <v>43101</v>
      </c>
      <c r="K93" s="39"/>
      <c r="L93" s="158"/>
      <c r="M93" s="158">
        <f t="shared" ref="M93:M97" si="57">(O92+(L93+N93)/2)*Q93/12</f>
        <v>16638.237432291669</v>
      </c>
      <c r="N93" s="201">
        <f>-'Accounting Balances'!F135</f>
        <v>-1079079.8700000001</v>
      </c>
      <c r="O93" s="154">
        <f t="shared" ref="O93:O104" si="58">O92+L93+M93+N93</f>
        <v>4174953.5774322916</v>
      </c>
      <c r="Q93" s="155">
        <f>H93</f>
        <v>4.2500000000000003E-2</v>
      </c>
    </row>
    <row r="94" spans="1:17" ht="14.45" customHeight="1">
      <c r="A94" s="152">
        <f t="shared" ref="A94:A104" si="59">A93+31</f>
        <v>43132</v>
      </c>
      <c r="C94" s="154"/>
      <c r="D94" s="154">
        <f t="shared" si="54"/>
        <v>23441.729642685987</v>
      </c>
      <c r="E94" s="201">
        <f>-'Accounting Balances'!F128</f>
        <v>-916951.19</v>
      </c>
      <c r="F94" s="158">
        <f t="shared" si="55"/>
        <v>6183807.4455187283</v>
      </c>
      <c r="G94" s="39"/>
      <c r="H94" s="202">
        <f t="shared" si="56"/>
        <v>4.2500000000000003E-2</v>
      </c>
      <c r="I94" s="39"/>
      <c r="J94" s="203">
        <f t="shared" si="53"/>
        <v>43132</v>
      </c>
      <c r="K94" s="39"/>
      <c r="L94" s="158"/>
      <c r="M94" s="158">
        <f t="shared" si="57"/>
        <v>13071.345164864366</v>
      </c>
      <c r="N94" s="201">
        <f>-'Accounting Balances'!F136</f>
        <v>-968441.65</v>
      </c>
      <c r="O94" s="154">
        <f t="shared" si="58"/>
        <v>3219583.272597156</v>
      </c>
      <c r="Q94" s="155">
        <f t="shared" ref="Q94:Q104" si="60">H94</f>
        <v>4.2500000000000003E-2</v>
      </c>
    </row>
    <row r="95" spans="1:17" ht="14.45" customHeight="1">
      <c r="A95" s="152">
        <f t="shared" si="59"/>
        <v>43163</v>
      </c>
      <c r="C95" s="154"/>
      <c r="D95" s="154">
        <f t="shared" si="54"/>
        <v>20168.611673712163</v>
      </c>
      <c r="E95" s="201">
        <f>-'Accounting Balances'!F129</f>
        <v>-978281.24</v>
      </c>
      <c r="F95" s="158">
        <f t="shared" si="55"/>
        <v>5225694.8171924399</v>
      </c>
      <c r="G95" s="39"/>
      <c r="H95" s="202">
        <f t="shared" si="56"/>
        <v>4.2500000000000003E-2</v>
      </c>
      <c r="I95" s="39"/>
      <c r="J95" s="203">
        <f t="shared" si="53"/>
        <v>43163</v>
      </c>
      <c r="K95" s="39"/>
      <c r="L95" s="158"/>
      <c r="M95" s="158">
        <f t="shared" si="57"/>
        <v>9914.6927633649284</v>
      </c>
      <c r="N95" s="201">
        <f>-'Accounting Balances'!F137</f>
        <v>-840281.22</v>
      </c>
      <c r="O95" s="154">
        <f t="shared" si="58"/>
        <v>2389216.7453605207</v>
      </c>
      <c r="Q95" s="155">
        <f t="shared" si="60"/>
        <v>4.2500000000000003E-2</v>
      </c>
    </row>
    <row r="96" spans="1:17" ht="14.45" hidden="1" customHeight="1">
      <c r="A96" s="152">
        <f t="shared" si="59"/>
        <v>43194</v>
      </c>
      <c r="C96" s="154"/>
      <c r="D96" s="154">
        <f t="shared" si="54"/>
        <v>0</v>
      </c>
      <c r="E96" s="201"/>
      <c r="F96" s="158">
        <f>F95+C96+D96+E96</f>
        <v>5225694.8171924399</v>
      </c>
      <c r="G96" s="39"/>
      <c r="H96" s="202">
        <f t="shared" si="56"/>
        <v>0</v>
      </c>
      <c r="I96" s="39"/>
      <c r="J96" s="203">
        <f t="shared" si="53"/>
        <v>43194</v>
      </c>
      <c r="K96" s="39"/>
      <c r="L96" s="158"/>
      <c r="M96" s="158">
        <f t="shared" si="57"/>
        <v>0</v>
      </c>
      <c r="N96" s="201"/>
      <c r="O96" s="154">
        <f t="shared" si="58"/>
        <v>2389216.7453605207</v>
      </c>
      <c r="Q96" s="155">
        <f t="shared" si="60"/>
        <v>0</v>
      </c>
    </row>
    <row r="97" spans="1:20" ht="14.45" hidden="1" customHeight="1">
      <c r="A97" s="152">
        <f t="shared" si="59"/>
        <v>43225</v>
      </c>
      <c r="C97" s="154"/>
      <c r="D97" s="154">
        <f>(F96+(C97+E97)/2)*H97/12</f>
        <v>0</v>
      </c>
      <c r="E97" s="201"/>
      <c r="F97" s="158">
        <f>F96+C97+D97+E97</f>
        <v>5225694.8171924399</v>
      </c>
      <c r="G97" s="39"/>
      <c r="H97" s="202">
        <f t="shared" si="56"/>
        <v>0</v>
      </c>
      <c r="I97" s="39"/>
      <c r="J97" s="203">
        <f t="shared" si="53"/>
        <v>43225</v>
      </c>
      <c r="K97" s="39"/>
      <c r="L97" s="158"/>
      <c r="M97" s="158">
        <f t="shared" si="57"/>
        <v>0</v>
      </c>
      <c r="N97" s="201"/>
      <c r="O97" s="154">
        <f t="shared" si="58"/>
        <v>2389216.7453605207</v>
      </c>
      <c r="Q97" s="155">
        <f t="shared" si="60"/>
        <v>0</v>
      </c>
    </row>
    <row r="98" spans="1:20" ht="14.45" hidden="1" customHeight="1">
      <c r="A98" s="152">
        <f t="shared" si="59"/>
        <v>43256</v>
      </c>
      <c r="C98" s="154"/>
      <c r="D98" s="154">
        <f>(F97+(C98+E98)/2)*H98/12</f>
        <v>0</v>
      </c>
      <c r="E98" s="201"/>
      <c r="F98" s="158">
        <f t="shared" si="55"/>
        <v>5225694.8171924399</v>
      </c>
      <c r="G98" s="39"/>
      <c r="H98" s="202">
        <f t="shared" si="56"/>
        <v>0</v>
      </c>
      <c r="I98" s="39"/>
      <c r="J98" s="203">
        <f t="shared" si="53"/>
        <v>43256</v>
      </c>
      <c r="K98" s="39"/>
      <c r="L98" s="158"/>
      <c r="M98" s="158">
        <f>(O97+(L98+N98)/2)*Q98/12</f>
        <v>0</v>
      </c>
      <c r="N98" s="201"/>
      <c r="O98" s="154">
        <f t="shared" si="58"/>
        <v>2389216.7453605207</v>
      </c>
      <c r="Q98" s="155">
        <f t="shared" si="60"/>
        <v>0</v>
      </c>
    </row>
    <row r="99" spans="1:20" ht="14.45" hidden="1" customHeight="1">
      <c r="A99" s="152">
        <f t="shared" si="59"/>
        <v>43287</v>
      </c>
      <c r="C99" s="154"/>
      <c r="D99" s="154">
        <f>(F98+(C99+E99)/2)*H99/12</f>
        <v>0</v>
      </c>
      <c r="E99" s="201"/>
      <c r="F99" s="158">
        <f t="shared" ref="F99:F104" si="61">F98+C99+D99+E99</f>
        <v>5225694.8171924399</v>
      </c>
      <c r="G99" s="39"/>
      <c r="H99" s="202">
        <f t="shared" si="56"/>
        <v>0</v>
      </c>
      <c r="I99" s="39"/>
      <c r="J99" s="203">
        <f t="shared" si="53"/>
        <v>43287</v>
      </c>
      <c r="K99" s="39"/>
      <c r="L99" s="158"/>
      <c r="M99" s="158">
        <f>(O98+(L99+N99)/2)*Q99/12</f>
        <v>0</v>
      </c>
      <c r="N99" s="201"/>
      <c r="O99" s="154">
        <f t="shared" si="58"/>
        <v>2389216.7453605207</v>
      </c>
      <c r="Q99" s="155">
        <f t="shared" si="60"/>
        <v>0</v>
      </c>
    </row>
    <row r="100" spans="1:20" ht="14.45" hidden="1" customHeight="1">
      <c r="A100" s="152">
        <f t="shared" si="59"/>
        <v>43318</v>
      </c>
      <c r="C100" s="154"/>
      <c r="D100" s="154">
        <f t="shared" ref="D100:D104" si="62">(F99+(C100+E100)/2)*H100/12</f>
        <v>0</v>
      </c>
      <c r="E100" s="201"/>
      <c r="F100" s="158">
        <f t="shared" si="61"/>
        <v>5225694.8171924399</v>
      </c>
      <c r="G100" s="39"/>
      <c r="H100" s="202">
        <f t="shared" si="56"/>
        <v>0</v>
      </c>
      <c r="I100" s="39"/>
      <c r="J100" s="203">
        <f t="shared" si="53"/>
        <v>43318</v>
      </c>
      <c r="K100" s="39"/>
      <c r="L100" s="158"/>
      <c r="M100" s="158">
        <f>(O99+(L100+N100)/2)*Q100/12</f>
        <v>0</v>
      </c>
      <c r="N100" s="201"/>
      <c r="O100" s="154">
        <f t="shared" si="58"/>
        <v>2389216.7453605207</v>
      </c>
      <c r="Q100" s="155">
        <f t="shared" si="60"/>
        <v>0</v>
      </c>
    </row>
    <row r="101" spans="1:20" hidden="1">
      <c r="A101" s="152">
        <f t="shared" si="59"/>
        <v>43349</v>
      </c>
      <c r="C101" s="154"/>
      <c r="D101" s="154">
        <f t="shared" si="62"/>
        <v>0</v>
      </c>
      <c r="E101" s="201"/>
      <c r="F101" s="158">
        <f t="shared" si="61"/>
        <v>5225694.8171924399</v>
      </c>
      <c r="G101" s="39"/>
      <c r="H101" s="202">
        <f t="shared" si="56"/>
        <v>0</v>
      </c>
      <c r="I101" s="39"/>
      <c r="J101" s="203">
        <f t="shared" si="53"/>
        <v>43349</v>
      </c>
      <c r="K101" s="39"/>
      <c r="L101" s="204"/>
      <c r="M101" s="158">
        <f>(O100+(L101+N101)/2)*Q101/12</f>
        <v>0</v>
      </c>
      <c r="N101" s="201"/>
      <c r="O101" s="154">
        <f t="shared" si="58"/>
        <v>2389216.7453605207</v>
      </c>
      <c r="Q101" s="155">
        <f t="shared" si="60"/>
        <v>0</v>
      </c>
    </row>
    <row r="102" spans="1:20" hidden="1">
      <c r="A102" s="152">
        <f t="shared" si="59"/>
        <v>43380</v>
      </c>
      <c r="C102" s="160"/>
      <c r="D102" s="154">
        <f t="shared" si="62"/>
        <v>0</v>
      </c>
      <c r="E102" s="201"/>
      <c r="F102" s="158">
        <f>F101+C102+D102+E102</f>
        <v>5225694.8171924399</v>
      </c>
      <c r="G102" s="39"/>
      <c r="H102" s="202">
        <f>H34</f>
        <v>0</v>
      </c>
      <c r="I102" s="39"/>
      <c r="J102" s="203">
        <f t="shared" si="53"/>
        <v>43380</v>
      </c>
      <c r="K102" s="39"/>
      <c r="L102" s="161"/>
      <c r="M102" s="158">
        <f>(O101+L102+(N102)/2)*Q102/12</f>
        <v>0</v>
      </c>
      <c r="N102" s="201"/>
      <c r="O102" s="154">
        <f>O101+L102+M102+N102</f>
        <v>2389216.7453605207</v>
      </c>
      <c r="Q102" s="155">
        <f t="shared" si="60"/>
        <v>0</v>
      </c>
      <c r="T102" s="201"/>
    </row>
    <row r="103" spans="1:20" hidden="1">
      <c r="A103" s="152">
        <f t="shared" si="59"/>
        <v>43411</v>
      </c>
      <c r="B103" s="74" t="s">
        <v>144</v>
      </c>
      <c r="C103" s="160"/>
      <c r="D103" s="154">
        <f t="shared" si="62"/>
        <v>0</v>
      </c>
      <c r="E103" s="205"/>
      <c r="F103" s="158">
        <f>F102+C103+D103+E103</f>
        <v>5225694.8171924399</v>
      </c>
      <c r="G103" s="39"/>
      <c r="H103" s="202">
        <f>H102</f>
        <v>0</v>
      </c>
      <c r="I103" s="39"/>
      <c r="J103" s="203">
        <f t="shared" si="53"/>
        <v>43411</v>
      </c>
      <c r="K103" s="39" t="s">
        <v>144</v>
      </c>
      <c r="L103" s="161"/>
      <c r="M103" s="158">
        <f>(O102+(L103+N103)/2)*Q103/12</f>
        <v>0</v>
      </c>
      <c r="N103" s="201"/>
      <c r="O103" s="154">
        <f>O102+L103+M103+N103</f>
        <v>2389216.7453605207</v>
      </c>
      <c r="Q103" s="155">
        <f t="shared" si="60"/>
        <v>0</v>
      </c>
      <c r="T103" s="201"/>
    </row>
    <row r="104" spans="1:20" ht="13.9" hidden="1" customHeight="1">
      <c r="A104" s="152">
        <f t="shared" si="59"/>
        <v>43442</v>
      </c>
      <c r="B104" s="153"/>
      <c r="C104" s="160"/>
      <c r="D104" s="154">
        <f t="shared" si="62"/>
        <v>0</v>
      </c>
      <c r="E104" s="201"/>
      <c r="F104" s="158">
        <f t="shared" si="61"/>
        <v>5225694.8171924399</v>
      </c>
      <c r="G104" s="39"/>
      <c r="H104" s="202">
        <f>H103</f>
        <v>0</v>
      </c>
      <c r="I104" s="39"/>
      <c r="J104" s="203">
        <f t="shared" si="53"/>
        <v>43442</v>
      </c>
      <c r="K104" s="206"/>
      <c r="L104" s="161"/>
      <c r="M104" s="158">
        <f>(O103+(L104+N104)/2)*Q104/12</f>
        <v>0</v>
      </c>
      <c r="N104" s="201"/>
      <c r="O104" s="154">
        <f t="shared" si="58"/>
        <v>2389216.7453605207</v>
      </c>
      <c r="Q104" s="155">
        <f t="shared" si="60"/>
        <v>0</v>
      </c>
      <c r="T104" s="201"/>
    </row>
    <row r="105" spans="1:20" ht="11.45" hidden="1" customHeight="1">
      <c r="E105" s="39"/>
      <c r="F105" s="158"/>
      <c r="G105" s="39"/>
      <c r="H105" s="39"/>
      <c r="I105" s="39"/>
      <c r="J105" s="39"/>
      <c r="K105" s="39"/>
      <c r="L105" s="39"/>
      <c r="M105" s="39"/>
      <c r="N105" s="39"/>
      <c r="O105" s="154"/>
    </row>
    <row r="106" spans="1:20" ht="16.149999999999999" customHeight="1">
      <c r="A106" s="74">
        <v>182338</v>
      </c>
      <c r="B106" s="74" t="s">
        <v>53</v>
      </c>
      <c r="C106" s="180" t="s">
        <v>108</v>
      </c>
      <c r="D106" s="180" t="s">
        <v>109</v>
      </c>
      <c r="E106" s="207"/>
      <c r="F106" s="158" t="s">
        <v>111</v>
      </c>
      <c r="G106" s="39"/>
      <c r="H106" s="207" t="s">
        <v>109</v>
      </c>
      <c r="I106" s="39"/>
      <c r="J106" s="39">
        <v>182338</v>
      </c>
      <c r="K106" s="39" t="s">
        <v>54</v>
      </c>
      <c r="L106" s="207" t="s">
        <v>108</v>
      </c>
      <c r="M106" s="207" t="s">
        <v>109</v>
      </c>
      <c r="N106" s="207"/>
      <c r="O106" s="154" t="s">
        <v>111</v>
      </c>
      <c r="Q106" s="180" t="s">
        <v>109</v>
      </c>
    </row>
    <row r="107" spans="1:20">
      <c r="C107" s="180" t="s">
        <v>112</v>
      </c>
      <c r="D107" s="180" t="s">
        <v>113</v>
      </c>
      <c r="E107" s="207" t="s">
        <v>114</v>
      </c>
      <c r="F107" s="158" t="s">
        <v>110</v>
      </c>
      <c r="G107" s="39"/>
      <c r="H107" s="207" t="s">
        <v>115</v>
      </c>
      <c r="I107" s="39"/>
      <c r="J107" s="39"/>
      <c r="K107" s="39"/>
      <c r="L107" s="207" t="s">
        <v>112</v>
      </c>
      <c r="M107" s="207" t="s">
        <v>113</v>
      </c>
      <c r="N107" s="207" t="s">
        <v>114</v>
      </c>
      <c r="O107" s="154" t="s">
        <v>110</v>
      </c>
      <c r="Q107" s="180" t="s">
        <v>115</v>
      </c>
    </row>
    <row r="108" spans="1:20">
      <c r="A108" s="152">
        <f>$A$24</f>
        <v>43070</v>
      </c>
      <c r="B108" s="153"/>
      <c r="C108" s="153"/>
      <c r="E108" s="39"/>
      <c r="F108" s="158">
        <v>689441.81</v>
      </c>
      <c r="G108" s="39"/>
      <c r="H108" s="39"/>
      <c r="I108" s="39"/>
      <c r="J108" s="203">
        <f t="shared" ref="J108:J120" si="63">A108</f>
        <v>43070</v>
      </c>
      <c r="K108" s="206"/>
      <c r="L108" s="206"/>
      <c r="M108" s="39"/>
      <c r="N108" s="39"/>
      <c r="O108" s="154">
        <v>1588928.48</v>
      </c>
    </row>
    <row r="109" spans="1:20">
      <c r="A109" s="152">
        <f>A108+31</f>
        <v>43101</v>
      </c>
      <c r="C109" s="154"/>
      <c r="D109" s="154">
        <f>(F108+(C109+E109)/2)*H109/12</f>
        <v>2324.531001041667</v>
      </c>
      <c r="E109" s="201">
        <f>-'Accounting Balances'!F131</f>
        <v>-66207.289999999994</v>
      </c>
      <c r="F109" s="158">
        <f>F108+C109+D109+E109</f>
        <v>625559.05100104166</v>
      </c>
      <c r="G109" s="39"/>
      <c r="H109" s="202">
        <f t="shared" ref="H109:H120" si="64">H25</f>
        <v>4.2500000000000003E-2</v>
      </c>
      <c r="I109" s="39"/>
      <c r="J109" s="203">
        <f t="shared" si="63"/>
        <v>43101</v>
      </c>
      <c r="K109" s="39"/>
      <c r="L109" s="158"/>
      <c r="M109" s="158">
        <f>(O108+(L109+N109)/2)*Q109/12</f>
        <v>5166.4391166666674</v>
      </c>
      <c r="N109" s="201">
        <f>-'Accounting Balances'!F139</f>
        <v>-260338.4</v>
      </c>
      <c r="O109" s="154">
        <f>O108+L109+M109+N109</f>
        <v>1333756.5191166666</v>
      </c>
      <c r="Q109" s="155">
        <f>H109</f>
        <v>4.2500000000000003E-2</v>
      </c>
    </row>
    <row r="110" spans="1:20">
      <c r="A110" s="152">
        <f t="shared" ref="A110:A120" si="65">A109+31</f>
        <v>43132</v>
      </c>
      <c r="C110" s="154"/>
      <c r="D110" s="154">
        <f>(F109+(C110+E110)/2)*H110/12</f>
        <v>2096.210609795356</v>
      </c>
      <c r="E110" s="201">
        <f>-'Accounting Balances'!F132</f>
        <v>-67375.64</v>
      </c>
      <c r="F110" s="158">
        <f>F109+C110+D110+E110</f>
        <v>560279.62161083706</v>
      </c>
      <c r="G110" s="39"/>
      <c r="H110" s="202">
        <f t="shared" si="64"/>
        <v>4.2500000000000003E-2</v>
      </c>
      <c r="I110" s="39"/>
      <c r="J110" s="203">
        <f t="shared" si="63"/>
        <v>43132</v>
      </c>
      <c r="K110" s="39"/>
      <c r="L110" s="158"/>
      <c r="M110" s="158">
        <f>(O109+(L110+N110)/2)*Q110/12</f>
        <v>4219.3261885381953</v>
      </c>
      <c r="N110" s="201">
        <f>-'Accounting Balances'!F140</f>
        <v>-284834.71999999997</v>
      </c>
      <c r="O110" s="154">
        <f>O109+L110+M110+N110</f>
        <v>1053141.1253052049</v>
      </c>
      <c r="Q110" s="155">
        <f t="shared" ref="Q110:Q120" si="66">H110</f>
        <v>4.2500000000000003E-2</v>
      </c>
    </row>
    <row r="111" spans="1:20">
      <c r="A111" s="152">
        <f t="shared" si="65"/>
        <v>43163</v>
      </c>
      <c r="C111" s="154"/>
      <c r="D111" s="154">
        <f>(F110+(C111+E111)/2)*H111/12</f>
        <v>1871.3336557050479</v>
      </c>
      <c r="E111" s="201">
        <f>-'Accounting Balances'!F133</f>
        <v>-63806.12</v>
      </c>
      <c r="F111" s="158">
        <f>F110+C111+D111+E111</f>
        <v>498344.83526654216</v>
      </c>
      <c r="G111" s="39"/>
      <c r="H111" s="202">
        <f t="shared" si="64"/>
        <v>4.2500000000000003E-2</v>
      </c>
      <c r="I111" s="39"/>
      <c r="J111" s="203">
        <f t="shared" si="63"/>
        <v>43163</v>
      </c>
      <c r="K111" s="39"/>
      <c r="L111" s="158"/>
      <c r="M111" s="158">
        <f>(O110+(L111+N111)/2)*Q111/12</f>
        <v>3337.691848997601</v>
      </c>
      <c r="N111" s="201">
        <f>-'Accounting Balances'!F141</f>
        <v>-221468.03</v>
      </c>
      <c r="O111" s="154">
        <f>O110+L111+M111+N111</f>
        <v>835010.78715420235</v>
      </c>
      <c r="Q111" s="155">
        <f t="shared" si="66"/>
        <v>4.2500000000000003E-2</v>
      </c>
    </row>
    <row r="112" spans="1:20" hidden="1">
      <c r="A112" s="152">
        <f t="shared" si="65"/>
        <v>43194</v>
      </c>
      <c r="C112" s="154"/>
      <c r="D112" s="154">
        <f>(F111+(C112+E112)/2)*H112/12</f>
        <v>0</v>
      </c>
      <c r="E112" s="201"/>
      <c r="F112" s="158">
        <f>F111+C112+D112+E112</f>
        <v>498344.83526654216</v>
      </c>
      <c r="G112" s="39"/>
      <c r="H112" s="202">
        <f t="shared" si="64"/>
        <v>0</v>
      </c>
      <c r="I112" s="39"/>
      <c r="J112" s="203">
        <f t="shared" si="63"/>
        <v>43194</v>
      </c>
      <c r="K112" s="39"/>
      <c r="L112" s="158"/>
      <c r="M112" s="158">
        <f>(O111+(L112+N112)/2)*Q112/12</f>
        <v>0</v>
      </c>
      <c r="N112" s="201"/>
      <c r="O112" s="154">
        <f>O111+L112+M112+N112</f>
        <v>835010.78715420235</v>
      </c>
      <c r="Q112" s="155">
        <f t="shared" si="66"/>
        <v>0</v>
      </c>
    </row>
    <row r="113" spans="1:17" hidden="1">
      <c r="A113" s="152">
        <f t="shared" si="65"/>
        <v>43225</v>
      </c>
      <c r="C113" s="154"/>
      <c r="D113" s="154">
        <f t="shared" ref="D113:D120" si="67">(F112+(C113+E113)/2)*H113/12</f>
        <v>0</v>
      </c>
      <c r="E113" s="201"/>
      <c r="F113" s="158">
        <f t="shared" ref="F113:F120" si="68">F112+C113+D113+E113</f>
        <v>498344.83526654216</v>
      </c>
      <c r="G113" s="39"/>
      <c r="H113" s="202">
        <f t="shared" si="64"/>
        <v>0</v>
      </c>
      <c r="I113" s="39"/>
      <c r="J113" s="203">
        <f t="shared" si="63"/>
        <v>43225</v>
      </c>
      <c r="K113" s="39"/>
      <c r="L113" s="158"/>
      <c r="M113" s="158">
        <f t="shared" ref="M113:M120" si="69">(O112+(L113+N113)/2)*Q113/12</f>
        <v>0</v>
      </c>
      <c r="N113" s="201"/>
      <c r="O113" s="154">
        <f t="shared" ref="O113:O120" si="70">O112+L113+M113+N113</f>
        <v>835010.78715420235</v>
      </c>
      <c r="Q113" s="155">
        <f t="shared" si="66"/>
        <v>0</v>
      </c>
    </row>
    <row r="114" spans="1:17" hidden="1">
      <c r="A114" s="152">
        <f t="shared" si="65"/>
        <v>43256</v>
      </c>
      <c r="C114" s="154"/>
      <c r="D114" s="154">
        <f t="shared" si="67"/>
        <v>0</v>
      </c>
      <c r="E114" s="201"/>
      <c r="F114" s="158">
        <f t="shared" si="68"/>
        <v>498344.83526654216</v>
      </c>
      <c r="G114" s="39"/>
      <c r="H114" s="202">
        <f t="shared" si="64"/>
        <v>0</v>
      </c>
      <c r="I114" s="39"/>
      <c r="J114" s="203">
        <f t="shared" si="63"/>
        <v>43256</v>
      </c>
      <c r="K114" s="39"/>
      <c r="L114" s="158"/>
      <c r="M114" s="158">
        <f t="shared" si="69"/>
        <v>0</v>
      </c>
      <c r="N114" s="201"/>
      <c r="O114" s="154">
        <f t="shared" si="70"/>
        <v>835010.78715420235</v>
      </c>
      <c r="Q114" s="155">
        <f t="shared" si="66"/>
        <v>0</v>
      </c>
    </row>
    <row r="115" spans="1:17" hidden="1">
      <c r="A115" s="152">
        <f t="shared" si="65"/>
        <v>43287</v>
      </c>
      <c r="C115" s="154"/>
      <c r="D115" s="154">
        <f t="shared" si="67"/>
        <v>0</v>
      </c>
      <c r="E115" s="201"/>
      <c r="F115" s="158">
        <f t="shared" si="68"/>
        <v>498344.83526654216</v>
      </c>
      <c r="G115" s="39"/>
      <c r="H115" s="202">
        <f t="shared" si="64"/>
        <v>0</v>
      </c>
      <c r="I115" s="39"/>
      <c r="J115" s="203">
        <f t="shared" si="63"/>
        <v>43287</v>
      </c>
      <c r="K115" s="39"/>
      <c r="L115" s="158"/>
      <c r="M115" s="158">
        <f t="shared" si="69"/>
        <v>0</v>
      </c>
      <c r="N115" s="201"/>
      <c r="O115" s="154">
        <f t="shared" si="70"/>
        <v>835010.78715420235</v>
      </c>
      <c r="Q115" s="155">
        <f t="shared" si="66"/>
        <v>0</v>
      </c>
    </row>
    <row r="116" spans="1:17" hidden="1">
      <c r="A116" s="152">
        <f t="shared" si="65"/>
        <v>43318</v>
      </c>
      <c r="C116" s="154"/>
      <c r="D116" s="154">
        <f t="shared" si="67"/>
        <v>0</v>
      </c>
      <c r="E116" s="201"/>
      <c r="F116" s="158">
        <f t="shared" si="68"/>
        <v>498344.83526654216</v>
      </c>
      <c r="G116" s="39"/>
      <c r="H116" s="202">
        <f t="shared" si="64"/>
        <v>0</v>
      </c>
      <c r="I116" s="39"/>
      <c r="J116" s="203">
        <f t="shared" si="63"/>
        <v>43318</v>
      </c>
      <c r="K116" s="39"/>
      <c r="L116" s="158"/>
      <c r="M116" s="158">
        <f>(O115+(L116+N116)/2)*Q116/12</f>
        <v>0</v>
      </c>
      <c r="N116" s="201"/>
      <c r="O116" s="154">
        <f t="shared" si="70"/>
        <v>835010.78715420235</v>
      </c>
      <c r="Q116" s="155">
        <f t="shared" si="66"/>
        <v>0</v>
      </c>
    </row>
    <row r="117" spans="1:17" hidden="1">
      <c r="A117" s="152">
        <f t="shared" si="65"/>
        <v>43349</v>
      </c>
      <c r="C117" s="154"/>
      <c r="D117" s="154">
        <f t="shared" si="67"/>
        <v>0</v>
      </c>
      <c r="E117" s="201"/>
      <c r="F117" s="158">
        <f t="shared" si="68"/>
        <v>498344.83526654216</v>
      </c>
      <c r="G117" s="39"/>
      <c r="H117" s="202">
        <f t="shared" si="64"/>
        <v>0</v>
      </c>
      <c r="I117" s="39"/>
      <c r="J117" s="203">
        <f t="shared" si="63"/>
        <v>43349</v>
      </c>
      <c r="K117" s="39"/>
      <c r="L117" s="158"/>
      <c r="M117" s="158">
        <f t="shared" si="69"/>
        <v>0</v>
      </c>
      <c r="N117" s="201"/>
      <c r="O117" s="154">
        <f t="shared" si="70"/>
        <v>835010.78715420235</v>
      </c>
      <c r="Q117" s="155">
        <f t="shared" si="66"/>
        <v>0</v>
      </c>
    </row>
    <row r="118" spans="1:17" hidden="1">
      <c r="A118" s="152">
        <f t="shared" si="65"/>
        <v>43380</v>
      </c>
      <c r="C118" s="154"/>
      <c r="D118" s="154">
        <f>(F117+C118+(E118)/2)*H118/12</f>
        <v>0</v>
      </c>
      <c r="E118" s="201"/>
      <c r="F118" s="158">
        <f t="shared" si="68"/>
        <v>498344.83526654216</v>
      </c>
      <c r="G118" s="39"/>
      <c r="H118" s="202">
        <f t="shared" si="64"/>
        <v>0</v>
      </c>
      <c r="I118" s="39"/>
      <c r="J118" s="203">
        <f t="shared" si="63"/>
        <v>43380</v>
      </c>
      <c r="K118" s="39"/>
      <c r="L118" s="158"/>
      <c r="M118" s="158">
        <f>(O117+L118+(N118)/2)*Q118/12</f>
        <v>0</v>
      </c>
      <c r="N118" s="201"/>
      <c r="O118" s="154">
        <f t="shared" si="70"/>
        <v>835010.78715420235</v>
      </c>
      <c r="Q118" s="155">
        <f t="shared" si="66"/>
        <v>0</v>
      </c>
    </row>
    <row r="119" spans="1:17" hidden="1">
      <c r="A119" s="152">
        <f t="shared" si="65"/>
        <v>43411</v>
      </c>
      <c r="B119" s="74" t="s">
        <v>144</v>
      </c>
      <c r="C119" s="154"/>
      <c r="D119" s="154">
        <f t="shared" si="67"/>
        <v>0</v>
      </c>
      <c r="E119" s="201"/>
      <c r="F119" s="158">
        <f t="shared" si="68"/>
        <v>498344.83526654216</v>
      </c>
      <c r="G119" s="39"/>
      <c r="H119" s="202">
        <f t="shared" si="64"/>
        <v>0</v>
      </c>
      <c r="I119" s="39"/>
      <c r="J119" s="203">
        <f t="shared" si="63"/>
        <v>43411</v>
      </c>
      <c r="K119" s="39" t="s">
        <v>144</v>
      </c>
      <c r="L119" s="158"/>
      <c r="M119" s="158">
        <f t="shared" si="69"/>
        <v>0</v>
      </c>
      <c r="N119" s="201"/>
      <c r="O119" s="154">
        <f t="shared" si="70"/>
        <v>835010.78715420235</v>
      </c>
      <c r="Q119" s="155">
        <f t="shared" si="66"/>
        <v>0</v>
      </c>
    </row>
    <row r="120" spans="1:17" hidden="1">
      <c r="A120" s="152">
        <f t="shared" si="65"/>
        <v>43442</v>
      </c>
      <c r="C120" s="154"/>
      <c r="D120" s="154">
        <f t="shared" si="67"/>
        <v>0</v>
      </c>
      <c r="E120" s="201"/>
      <c r="F120" s="158">
        <f t="shared" si="68"/>
        <v>498344.83526654216</v>
      </c>
      <c r="G120" s="39"/>
      <c r="H120" s="202">
        <f t="shared" si="64"/>
        <v>0</v>
      </c>
      <c r="I120" s="39"/>
      <c r="J120" s="203">
        <f t="shared" si="63"/>
        <v>43442</v>
      </c>
      <c r="K120" s="39"/>
      <c r="L120" s="158"/>
      <c r="M120" s="158">
        <f t="shared" si="69"/>
        <v>0</v>
      </c>
      <c r="N120" s="201"/>
      <c r="O120" s="154">
        <f t="shared" si="70"/>
        <v>835010.78715420235</v>
      </c>
      <c r="Q120" s="155">
        <f t="shared" si="66"/>
        <v>0</v>
      </c>
    </row>
    <row r="121" spans="1:17">
      <c r="A121" s="152"/>
      <c r="C121" s="154"/>
      <c r="D121" s="154"/>
      <c r="F121" s="154"/>
      <c r="H121" s="155"/>
      <c r="J121" s="152"/>
      <c r="L121" s="154"/>
      <c r="M121" s="154"/>
      <c r="O121" s="154"/>
      <c r="Q121" s="155"/>
    </row>
    <row r="122" spans="1:17">
      <c r="A122" s="74">
        <v>254328</v>
      </c>
      <c r="B122" s="74" t="s">
        <v>53</v>
      </c>
      <c r="C122" s="180" t="s">
        <v>108</v>
      </c>
      <c r="D122" s="180" t="s">
        <v>109</v>
      </c>
      <c r="E122" s="180"/>
      <c r="F122" s="154" t="s">
        <v>111</v>
      </c>
      <c r="H122" s="180" t="s">
        <v>109</v>
      </c>
      <c r="J122" s="74">
        <v>254328</v>
      </c>
      <c r="K122" s="74" t="s">
        <v>54</v>
      </c>
      <c r="L122" s="180" t="s">
        <v>108</v>
      </c>
      <c r="M122" s="180" t="s">
        <v>109</v>
      </c>
      <c r="N122" s="180"/>
      <c r="O122" s="154" t="s">
        <v>111</v>
      </c>
      <c r="Q122" s="180" t="s">
        <v>109</v>
      </c>
    </row>
    <row r="123" spans="1:17">
      <c r="C123" s="180" t="s">
        <v>112</v>
      </c>
      <c r="D123" s="180" t="s">
        <v>113</v>
      </c>
      <c r="E123" s="180" t="s">
        <v>114</v>
      </c>
      <c r="F123" s="154" t="s">
        <v>110</v>
      </c>
      <c r="H123" s="180" t="s">
        <v>115</v>
      </c>
      <c r="L123" s="180" t="s">
        <v>112</v>
      </c>
      <c r="M123" s="180" t="s">
        <v>113</v>
      </c>
      <c r="N123" s="180" t="s">
        <v>114</v>
      </c>
      <c r="O123" s="154" t="s">
        <v>110</v>
      </c>
      <c r="Q123" s="180" t="s">
        <v>115</v>
      </c>
    </row>
    <row r="124" spans="1:17">
      <c r="A124" s="152">
        <f>$A$24</f>
        <v>43070</v>
      </c>
      <c r="B124" s="153"/>
      <c r="C124" s="153"/>
      <c r="F124" s="154">
        <v>0</v>
      </c>
      <c r="J124" s="152">
        <f t="shared" ref="J124:J136" si="71">A124</f>
        <v>43070</v>
      </c>
      <c r="K124" s="153"/>
      <c r="L124" s="153"/>
      <c r="O124" s="154">
        <v>0</v>
      </c>
    </row>
    <row r="125" spans="1:17">
      <c r="A125" s="152">
        <f>A124+31</f>
        <v>43101</v>
      </c>
      <c r="C125" s="154"/>
      <c r="D125" s="154">
        <f t="shared" ref="D125:D136" si="72">(F124+(C125+E125)/2)*H125/12</f>
        <v>0</v>
      </c>
      <c r="F125" s="154">
        <f t="shared" ref="F125:F136" si="73">F124+C125+D125+E125</f>
        <v>0</v>
      </c>
      <c r="H125" s="155">
        <f t="shared" ref="H125:H136" si="74">H25</f>
        <v>4.2500000000000003E-2</v>
      </c>
      <c r="J125" s="152">
        <f t="shared" si="71"/>
        <v>43101</v>
      </c>
      <c r="L125" s="154"/>
      <c r="M125" s="154">
        <f t="shared" ref="M125:M136" si="75">(O124+(L125+N125)/2)*Q125/12</f>
        <v>0</v>
      </c>
      <c r="O125" s="154">
        <f t="shared" ref="O125:O136" si="76">O124+L125+M125+N125</f>
        <v>0</v>
      </c>
      <c r="Q125" s="155">
        <f>H125</f>
        <v>4.2500000000000003E-2</v>
      </c>
    </row>
    <row r="126" spans="1:17">
      <c r="A126" s="152">
        <f t="shared" ref="A126:A136" si="77">A125+31</f>
        <v>43132</v>
      </c>
      <c r="C126" s="154"/>
      <c r="D126" s="154">
        <f t="shared" si="72"/>
        <v>0</v>
      </c>
      <c r="F126" s="154">
        <f t="shared" si="73"/>
        <v>0</v>
      </c>
      <c r="H126" s="155">
        <f t="shared" si="74"/>
        <v>4.2500000000000003E-2</v>
      </c>
      <c r="J126" s="152">
        <f t="shared" si="71"/>
        <v>43132</v>
      </c>
      <c r="L126" s="154"/>
      <c r="M126" s="154">
        <f t="shared" si="75"/>
        <v>0</v>
      </c>
      <c r="O126" s="154">
        <f t="shared" si="76"/>
        <v>0</v>
      </c>
      <c r="Q126" s="155">
        <f t="shared" ref="Q126:Q136" si="78">H126</f>
        <v>4.2500000000000003E-2</v>
      </c>
    </row>
    <row r="127" spans="1:17">
      <c r="A127" s="152">
        <f t="shared" si="77"/>
        <v>43163</v>
      </c>
      <c r="C127" s="154"/>
      <c r="D127" s="154">
        <f t="shared" si="72"/>
        <v>0</v>
      </c>
      <c r="F127" s="154">
        <f t="shared" si="73"/>
        <v>0</v>
      </c>
      <c r="H127" s="155">
        <f t="shared" si="74"/>
        <v>4.2500000000000003E-2</v>
      </c>
      <c r="J127" s="152">
        <f t="shared" si="71"/>
        <v>43163</v>
      </c>
      <c r="L127" s="154"/>
      <c r="M127" s="154">
        <f t="shared" si="75"/>
        <v>0</v>
      </c>
      <c r="O127" s="154">
        <f t="shared" si="76"/>
        <v>0</v>
      </c>
      <c r="Q127" s="155">
        <f t="shared" si="78"/>
        <v>4.2500000000000003E-2</v>
      </c>
    </row>
    <row r="128" spans="1:17" hidden="1">
      <c r="A128" s="152">
        <f t="shared" si="77"/>
        <v>43194</v>
      </c>
      <c r="C128" s="154"/>
      <c r="D128" s="154">
        <f t="shared" si="72"/>
        <v>0</v>
      </c>
      <c r="F128" s="154">
        <f t="shared" si="73"/>
        <v>0</v>
      </c>
      <c r="H128" s="155">
        <f t="shared" si="74"/>
        <v>0</v>
      </c>
      <c r="J128" s="152">
        <f t="shared" si="71"/>
        <v>43194</v>
      </c>
      <c r="L128" s="154"/>
      <c r="M128" s="154">
        <f t="shared" si="75"/>
        <v>0</v>
      </c>
      <c r="O128" s="154">
        <f t="shared" si="76"/>
        <v>0</v>
      </c>
      <c r="Q128" s="155">
        <f t="shared" si="78"/>
        <v>0</v>
      </c>
    </row>
    <row r="129" spans="1:17" hidden="1">
      <c r="A129" s="152">
        <f t="shared" si="77"/>
        <v>43225</v>
      </c>
      <c r="C129" s="154"/>
      <c r="D129" s="154">
        <f t="shared" si="72"/>
        <v>0</v>
      </c>
      <c r="F129" s="154">
        <f t="shared" si="73"/>
        <v>0</v>
      </c>
      <c r="H129" s="155">
        <f t="shared" si="74"/>
        <v>0</v>
      </c>
      <c r="J129" s="152">
        <f t="shared" si="71"/>
        <v>43225</v>
      </c>
      <c r="L129" s="154"/>
      <c r="M129" s="154">
        <f t="shared" si="75"/>
        <v>0</v>
      </c>
      <c r="O129" s="154">
        <f t="shared" si="76"/>
        <v>0</v>
      </c>
      <c r="Q129" s="155">
        <f t="shared" si="78"/>
        <v>0</v>
      </c>
    </row>
    <row r="130" spans="1:17" hidden="1">
      <c r="A130" s="152">
        <f t="shared" si="77"/>
        <v>43256</v>
      </c>
      <c r="C130" s="154"/>
      <c r="D130" s="154">
        <f t="shared" si="72"/>
        <v>0</v>
      </c>
      <c r="F130" s="154">
        <f t="shared" si="73"/>
        <v>0</v>
      </c>
      <c r="H130" s="155">
        <f t="shared" si="74"/>
        <v>0</v>
      </c>
      <c r="J130" s="152">
        <f t="shared" si="71"/>
        <v>43256</v>
      </c>
      <c r="L130" s="154"/>
      <c r="M130" s="154">
        <f t="shared" si="75"/>
        <v>0</v>
      </c>
      <c r="O130" s="154">
        <f t="shared" si="76"/>
        <v>0</v>
      </c>
      <c r="Q130" s="155">
        <f t="shared" si="78"/>
        <v>0</v>
      </c>
    </row>
    <row r="131" spans="1:17" hidden="1">
      <c r="A131" s="152">
        <f t="shared" si="77"/>
        <v>43287</v>
      </c>
      <c r="C131" s="154"/>
      <c r="D131" s="154">
        <f t="shared" si="72"/>
        <v>0</v>
      </c>
      <c r="F131" s="154">
        <f t="shared" si="73"/>
        <v>0</v>
      </c>
      <c r="H131" s="155">
        <f t="shared" si="74"/>
        <v>0</v>
      </c>
      <c r="J131" s="152">
        <f t="shared" si="71"/>
        <v>43287</v>
      </c>
      <c r="L131" s="154"/>
      <c r="M131" s="154">
        <f t="shared" si="75"/>
        <v>0</v>
      </c>
      <c r="O131" s="154">
        <f t="shared" si="76"/>
        <v>0</v>
      </c>
      <c r="Q131" s="155">
        <f t="shared" si="78"/>
        <v>0</v>
      </c>
    </row>
    <row r="132" spans="1:17" hidden="1">
      <c r="A132" s="152">
        <f t="shared" si="77"/>
        <v>43318</v>
      </c>
      <c r="C132" s="154"/>
      <c r="D132" s="154">
        <f t="shared" si="72"/>
        <v>0</v>
      </c>
      <c r="F132" s="154">
        <f t="shared" si="73"/>
        <v>0</v>
      </c>
      <c r="H132" s="155">
        <f t="shared" si="74"/>
        <v>0</v>
      </c>
      <c r="J132" s="152">
        <f t="shared" si="71"/>
        <v>43318</v>
      </c>
      <c r="L132" s="154"/>
      <c r="M132" s="154">
        <f t="shared" si="75"/>
        <v>0</v>
      </c>
      <c r="O132" s="154">
        <f t="shared" si="76"/>
        <v>0</v>
      </c>
      <c r="Q132" s="155">
        <f t="shared" si="78"/>
        <v>0</v>
      </c>
    </row>
    <row r="133" spans="1:17" hidden="1">
      <c r="A133" s="152">
        <f t="shared" si="77"/>
        <v>43349</v>
      </c>
      <c r="C133" s="154"/>
      <c r="D133" s="154">
        <f t="shared" si="72"/>
        <v>0</v>
      </c>
      <c r="F133" s="154">
        <f t="shared" si="73"/>
        <v>0</v>
      </c>
      <c r="H133" s="155">
        <f t="shared" si="74"/>
        <v>0</v>
      </c>
      <c r="J133" s="152">
        <f t="shared" si="71"/>
        <v>43349</v>
      </c>
      <c r="L133" s="154"/>
      <c r="M133" s="154">
        <f t="shared" si="75"/>
        <v>0</v>
      </c>
      <c r="O133" s="154">
        <f t="shared" si="76"/>
        <v>0</v>
      </c>
      <c r="Q133" s="155">
        <f t="shared" si="78"/>
        <v>0</v>
      </c>
    </row>
    <row r="134" spans="1:17" hidden="1">
      <c r="A134" s="152">
        <f t="shared" si="77"/>
        <v>43380</v>
      </c>
      <c r="C134" s="154"/>
      <c r="D134" s="154">
        <f t="shared" si="72"/>
        <v>0</v>
      </c>
      <c r="F134" s="154">
        <f t="shared" si="73"/>
        <v>0</v>
      </c>
      <c r="H134" s="155">
        <f t="shared" si="74"/>
        <v>0</v>
      </c>
      <c r="J134" s="152">
        <f t="shared" si="71"/>
        <v>43380</v>
      </c>
      <c r="L134" s="154"/>
      <c r="M134" s="154">
        <f t="shared" si="75"/>
        <v>0</v>
      </c>
      <c r="O134" s="154">
        <f t="shared" si="76"/>
        <v>0</v>
      </c>
      <c r="Q134" s="155">
        <f t="shared" si="78"/>
        <v>0</v>
      </c>
    </row>
    <row r="135" spans="1:17" hidden="1">
      <c r="A135" s="152">
        <f t="shared" si="77"/>
        <v>43411</v>
      </c>
      <c r="D135" s="154">
        <f t="shared" si="72"/>
        <v>0</v>
      </c>
      <c r="E135" s="23"/>
      <c r="F135" s="154">
        <f t="shared" si="73"/>
        <v>0</v>
      </c>
      <c r="H135" s="155">
        <f t="shared" si="74"/>
        <v>0</v>
      </c>
      <c r="J135" s="152">
        <f t="shared" si="71"/>
        <v>43411</v>
      </c>
      <c r="M135" s="154">
        <f t="shared" si="75"/>
        <v>0</v>
      </c>
      <c r="N135" s="23"/>
      <c r="O135" s="154">
        <f t="shared" si="76"/>
        <v>0</v>
      </c>
      <c r="Q135" s="155">
        <f t="shared" si="78"/>
        <v>0</v>
      </c>
    </row>
    <row r="136" spans="1:17" hidden="1">
      <c r="A136" s="152">
        <f t="shared" si="77"/>
        <v>43442</v>
      </c>
      <c r="B136" s="153"/>
      <c r="C136" s="154"/>
      <c r="D136" s="154">
        <f t="shared" si="72"/>
        <v>0</v>
      </c>
      <c r="E136" s="23"/>
      <c r="F136" s="154">
        <f t="shared" si="73"/>
        <v>0</v>
      </c>
      <c r="H136" s="155">
        <f t="shared" si="74"/>
        <v>0</v>
      </c>
      <c r="J136" s="152">
        <f t="shared" si="71"/>
        <v>43442</v>
      </c>
      <c r="K136" s="153"/>
      <c r="L136" s="154"/>
      <c r="M136" s="154">
        <f t="shared" si="75"/>
        <v>0</v>
      </c>
      <c r="N136" s="23"/>
      <c r="O136" s="154">
        <f t="shared" si="76"/>
        <v>0</v>
      </c>
      <c r="Q136" s="155">
        <f t="shared" si="78"/>
        <v>0</v>
      </c>
    </row>
    <row r="137" spans="1:17">
      <c r="F137" s="154"/>
      <c r="O137" s="154"/>
    </row>
    <row r="138" spans="1:17">
      <c r="A138" s="74">
        <v>254338</v>
      </c>
      <c r="B138" s="74" t="s">
        <v>53</v>
      </c>
      <c r="C138" s="180" t="s">
        <v>108</v>
      </c>
      <c r="D138" s="180" t="s">
        <v>109</v>
      </c>
      <c r="E138" s="180"/>
      <c r="F138" s="154" t="s">
        <v>111</v>
      </c>
      <c r="H138" s="180" t="s">
        <v>109</v>
      </c>
      <c r="J138" s="74">
        <v>254338</v>
      </c>
      <c r="K138" s="74" t="s">
        <v>54</v>
      </c>
      <c r="L138" s="180" t="s">
        <v>108</v>
      </c>
      <c r="M138" s="180" t="s">
        <v>109</v>
      </c>
      <c r="N138" s="180"/>
      <c r="O138" s="154" t="s">
        <v>111</v>
      </c>
      <c r="Q138" s="180" t="s">
        <v>109</v>
      </c>
    </row>
    <row r="139" spans="1:17">
      <c r="C139" s="180" t="s">
        <v>112</v>
      </c>
      <c r="D139" s="180" t="s">
        <v>113</v>
      </c>
      <c r="E139" s="180" t="s">
        <v>114</v>
      </c>
      <c r="F139" s="154" t="s">
        <v>110</v>
      </c>
      <c r="H139" s="180" t="s">
        <v>115</v>
      </c>
      <c r="L139" s="180" t="s">
        <v>112</v>
      </c>
      <c r="M139" s="180" t="s">
        <v>113</v>
      </c>
      <c r="N139" s="180" t="s">
        <v>114</v>
      </c>
      <c r="O139" s="154" t="s">
        <v>110</v>
      </c>
      <c r="Q139" s="180" t="s">
        <v>115</v>
      </c>
    </row>
    <row r="140" spans="1:17">
      <c r="A140" s="152">
        <f>$A$24</f>
        <v>43070</v>
      </c>
      <c r="B140" s="153"/>
      <c r="C140" s="153"/>
      <c r="F140" s="154">
        <v>0</v>
      </c>
      <c r="J140" s="152">
        <f t="shared" ref="J140:J152" si="79">A140</f>
        <v>43070</v>
      </c>
      <c r="K140" s="153"/>
      <c r="L140" s="153"/>
      <c r="O140" s="154">
        <v>0</v>
      </c>
    </row>
    <row r="141" spans="1:17">
      <c r="A141" s="152">
        <f>A140+31</f>
        <v>43101</v>
      </c>
      <c r="C141" s="154"/>
      <c r="D141" s="154">
        <f>(F140+(C141+E141)/2)*H141/12</f>
        <v>0</v>
      </c>
      <c r="E141" s="201"/>
      <c r="F141" s="154">
        <f>F140+C141+D141+E141</f>
        <v>0</v>
      </c>
      <c r="H141" s="155">
        <f t="shared" ref="H141:H152" si="80">H25</f>
        <v>4.2500000000000003E-2</v>
      </c>
      <c r="J141" s="152">
        <f t="shared" si="79"/>
        <v>43101</v>
      </c>
      <c r="L141" s="154"/>
      <c r="M141" s="154">
        <f>(O140+(L141+N141)/2)*Q141/12</f>
        <v>0</v>
      </c>
      <c r="N141" s="197"/>
      <c r="O141" s="154">
        <f>O140+L141+M141+N141</f>
        <v>0</v>
      </c>
      <c r="Q141" s="155">
        <f>H141</f>
        <v>4.2500000000000003E-2</v>
      </c>
    </row>
    <row r="142" spans="1:17">
      <c r="A142" s="152">
        <f t="shared" ref="A142:A152" si="81">A141+31</f>
        <v>43132</v>
      </c>
      <c r="C142" s="154"/>
      <c r="D142" s="154">
        <f>(F141+(C142+E142)/2)*H142/12</f>
        <v>0</v>
      </c>
      <c r="E142" s="201"/>
      <c r="F142" s="154">
        <f>F141+C142+D142+E142</f>
        <v>0</v>
      </c>
      <c r="H142" s="155">
        <f t="shared" si="80"/>
        <v>4.2500000000000003E-2</v>
      </c>
      <c r="J142" s="152">
        <f t="shared" si="79"/>
        <v>43132</v>
      </c>
      <c r="L142" s="154"/>
      <c r="M142" s="154">
        <f>(O141+(L142+N142)/2)*Q142/12</f>
        <v>0</v>
      </c>
      <c r="N142" s="197"/>
      <c r="O142" s="154">
        <f>O141+L142+M142+N142</f>
        <v>0</v>
      </c>
      <c r="Q142" s="155">
        <f t="shared" ref="Q142:Q152" si="82">H142</f>
        <v>4.2500000000000003E-2</v>
      </c>
    </row>
    <row r="143" spans="1:17">
      <c r="A143" s="152">
        <f t="shared" si="81"/>
        <v>43163</v>
      </c>
      <c r="C143" s="154"/>
      <c r="D143" s="154">
        <f>(F142+(C143+E143)/2)*H143/12</f>
        <v>0</v>
      </c>
      <c r="E143" s="201"/>
      <c r="F143" s="154">
        <f>F142+C143+D143+E143</f>
        <v>0</v>
      </c>
      <c r="H143" s="155">
        <f t="shared" si="80"/>
        <v>4.2500000000000003E-2</v>
      </c>
      <c r="J143" s="152">
        <f t="shared" si="79"/>
        <v>43163</v>
      </c>
      <c r="L143" s="154"/>
      <c r="M143" s="154">
        <f>(O142+(L143+N143)/2)*Q143/12</f>
        <v>0</v>
      </c>
      <c r="N143" s="197"/>
      <c r="O143" s="154">
        <f>O142+L143+M143+N143</f>
        <v>0</v>
      </c>
      <c r="Q143" s="155">
        <f t="shared" si="82"/>
        <v>4.2500000000000003E-2</v>
      </c>
    </row>
    <row r="144" spans="1:17" hidden="1">
      <c r="A144" s="152">
        <f t="shared" si="81"/>
        <v>43194</v>
      </c>
      <c r="C144" s="154"/>
      <c r="D144" s="154">
        <f t="shared" ref="D144:D151" si="83">(F143+(C144+E144)/2)*H144/12</f>
        <v>0</v>
      </c>
      <c r="E144" s="201"/>
      <c r="F144" s="154">
        <f t="shared" ref="F144:F152" si="84">F143+C144+D144+E144</f>
        <v>0</v>
      </c>
      <c r="H144" s="155">
        <f t="shared" si="80"/>
        <v>0</v>
      </c>
      <c r="J144" s="152">
        <f t="shared" si="79"/>
        <v>43194</v>
      </c>
      <c r="L144" s="154"/>
      <c r="M144" s="154">
        <f t="shared" ref="M144:M152" si="85">(O143+(L144+N144)/2)*Q144/12</f>
        <v>0</v>
      </c>
      <c r="N144" s="197"/>
      <c r="O144" s="154">
        <f t="shared" ref="O144:O152" si="86">O143+L144+M144+N144</f>
        <v>0</v>
      </c>
      <c r="Q144" s="155">
        <f t="shared" si="82"/>
        <v>0</v>
      </c>
    </row>
    <row r="145" spans="1:17" hidden="1">
      <c r="A145" s="152">
        <f t="shared" si="81"/>
        <v>43225</v>
      </c>
      <c r="C145" s="154"/>
      <c r="D145" s="154">
        <f t="shared" si="83"/>
        <v>0</v>
      </c>
      <c r="E145" s="201"/>
      <c r="F145" s="154">
        <f t="shared" si="84"/>
        <v>0</v>
      </c>
      <c r="H145" s="155">
        <f t="shared" si="80"/>
        <v>0</v>
      </c>
      <c r="J145" s="152">
        <f t="shared" si="79"/>
        <v>43225</v>
      </c>
      <c r="L145" s="154"/>
      <c r="M145" s="154">
        <f t="shared" si="85"/>
        <v>0</v>
      </c>
      <c r="N145" s="197"/>
      <c r="O145" s="154">
        <f t="shared" si="86"/>
        <v>0</v>
      </c>
      <c r="Q145" s="155">
        <f t="shared" si="82"/>
        <v>0</v>
      </c>
    </row>
    <row r="146" spans="1:17" hidden="1">
      <c r="A146" s="152">
        <f t="shared" si="81"/>
        <v>43256</v>
      </c>
      <c r="C146" s="154"/>
      <c r="D146" s="154">
        <f t="shared" si="83"/>
        <v>0</v>
      </c>
      <c r="E146" s="201"/>
      <c r="F146" s="154">
        <f t="shared" si="84"/>
        <v>0</v>
      </c>
      <c r="H146" s="155">
        <f t="shared" si="80"/>
        <v>0</v>
      </c>
      <c r="J146" s="152">
        <f t="shared" si="79"/>
        <v>43256</v>
      </c>
      <c r="L146" s="154"/>
      <c r="M146" s="154">
        <f t="shared" si="85"/>
        <v>0</v>
      </c>
      <c r="N146" s="197"/>
      <c r="O146" s="154">
        <f t="shared" si="86"/>
        <v>0</v>
      </c>
      <c r="Q146" s="155">
        <f t="shared" si="82"/>
        <v>0</v>
      </c>
    </row>
    <row r="147" spans="1:17" hidden="1">
      <c r="A147" s="152">
        <f t="shared" si="81"/>
        <v>43287</v>
      </c>
      <c r="C147" s="154"/>
      <c r="D147" s="154">
        <f t="shared" si="83"/>
        <v>0</v>
      </c>
      <c r="E147" s="201"/>
      <c r="F147" s="154">
        <f t="shared" si="84"/>
        <v>0</v>
      </c>
      <c r="H147" s="155">
        <f t="shared" si="80"/>
        <v>0</v>
      </c>
      <c r="J147" s="152">
        <f t="shared" si="79"/>
        <v>43287</v>
      </c>
      <c r="L147" s="154"/>
      <c r="M147" s="154">
        <f t="shared" si="85"/>
        <v>0</v>
      </c>
      <c r="N147" s="197"/>
      <c r="O147" s="154">
        <f t="shared" si="86"/>
        <v>0</v>
      </c>
      <c r="Q147" s="155">
        <f t="shared" si="82"/>
        <v>0</v>
      </c>
    </row>
    <row r="148" spans="1:17" hidden="1">
      <c r="A148" s="152">
        <f t="shared" si="81"/>
        <v>43318</v>
      </c>
      <c r="C148" s="154"/>
      <c r="D148" s="154">
        <f t="shared" si="83"/>
        <v>0</v>
      </c>
      <c r="E148" s="201"/>
      <c r="F148" s="154">
        <f t="shared" si="84"/>
        <v>0</v>
      </c>
      <c r="H148" s="155">
        <f t="shared" si="80"/>
        <v>0</v>
      </c>
      <c r="J148" s="152">
        <f t="shared" si="79"/>
        <v>43318</v>
      </c>
      <c r="L148" s="154"/>
      <c r="M148" s="154">
        <f t="shared" si="85"/>
        <v>0</v>
      </c>
      <c r="N148" s="197"/>
      <c r="O148" s="154">
        <f t="shared" si="86"/>
        <v>0</v>
      </c>
      <c r="Q148" s="155">
        <f t="shared" si="82"/>
        <v>0</v>
      </c>
    </row>
    <row r="149" spans="1:17" hidden="1">
      <c r="A149" s="152">
        <f t="shared" si="81"/>
        <v>43349</v>
      </c>
      <c r="C149" s="154"/>
      <c r="D149" s="154">
        <f t="shared" si="83"/>
        <v>0</v>
      </c>
      <c r="E149" s="201"/>
      <c r="F149" s="154">
        <f t="shared" si="84"/>
        <v>0</v>
      </c>
      <c r="H149" s="155">
        <f t="shared" si="80"/>
        <v>0</v>
      </c>
      <c r="J149" s="152">
        <f t="shared" si="79"/>
        <v>43349</v>
      </c>
      <c r="L149" s="154"/>
      <c r="M149" s="154">
        <f t="shared" si="85"/>
        <v>0</v>
      </c>
      <c r="N149" s="197"/>
      <c r="O149" s="154">
        <f t="shared" si="86"/>
        <v>0</v>
      </c>
      <c r="Q149" s="155">
        <f t="shared" si="82"/>
        <v>0</v>
      </c>
    </row>
    <row r="150" spans="1:17" hidden="1">
      <c r="A150" s="152">
        <f t="shared" si="81"/>
        <v>43380</v>
      </c>
      <c r="B150" s="74" t="s">
        <v>144</v>
      </c>
      <c r="C150" s="154"/>
      <c r="D150" s="154">
        <f>(F149+C150+(E150)/2)*H150/12</f>
        <v>0</v>
      </c>
      <c r="E150" s="201"/>
      <c r="F150" s="154">
        <f t="shared" si="84"/>
        <v>0</v>
      </c>
      <c r="H150" s="155">
        <f t="shared" si="80"/>
        <v>0</v>
      </c>
      <c r="J150" s="152">
        <f t="shared" si="79"/>
        <v>43380</v>
      </c>
      <c r="L150" s="154"/>
      <c r="M150" s="154">
        <f t="shared" si="85"/>
        <v>0</v>
      </c>
      <c r="N150" s="197"/>
      <c r="O150" s="154">
        <f t="shared" si="86"/>
        <v>0</v>
      </c>
      <c r="Q150" s="155">
        <f t="shared" si="82"/>
        <v>0</v>
      </c>
    </row>
    <row r="151" spans="1:17" hidden="1">
      <c r="A151" s="152">
        <f t="shared" si="81"/>
        <v>43411</v>
      </c>
      <c r="C151" s="154"/>
      <c r="D151" s="154">
        <f t="shared" si="83"/>
        <v>0</v>
      </c>
      <c r="E151" s="201"/>
      <c r="F151" s="154">
        <f t="shared" si="84"/>
        <v>0</v>
      </c>
      <c r="H151" s="155">
        <f t="shared" si="80"/>
        <v>0</v>
      </c>
      <c r="J151" s="152">
        <f t="shared" si="79"/>
        <v>43411</v>
      </c>
      <c r="L151" s="154"/>
      <c r="M151" s="154">
        <f t="shared" si="85"/>
        <v>0</v>
      </c>
      <c r="N151" s="197"/>
      <c r="O151" s="154">
        <f t="shared" si="86"/>
        <v>0</v>
      </c>
      <c r="Q151" s="155">
        <f t="shared" si="82"/>
        <v>0</v>
      </c>
    </row>
    <row r="152" spans="1:17" hidden="1">
      <c r="A152" s="152">
        <f t="shared" si="81"/>
        <v>43442</v>
      </c>
      <c r="C152" s="154"/>
      <c r="D152" s="154">
        <f>(F151+(C152+E152)/2)*H152/12</f>
        <v>0</v>
      </c>
      <c r="E152" s="201"/>
      <c r="F152" s="154">
        <f t="shared" si="84"/>
        <v>0</v>
      </c>
      <c r="H152" s="155">
        <f t="shared" si="80"/>
        <v>0</v>
      </c>
      <c r="J152" s="152">
        <f t="shared" si="79"/>
        <v>43442</v>
      </c>
      <c r="L152" s="154"/>
      <c r="M152" s="154">
        <f t="shared" si="85"/>
        <v>0</v>
      </c>
      <c r="N152" s="197"/>
      <c r="O152" s="154">
        <f t="shared" si="86"/>
        <v>0</v>
      </c>
      <c r="Q152" s="155">
        <f t="shared" si="82"/>
        <v>0</v>
      </c>
    </row>
    <row r="153" spans="1:17" ht="51" hidden="1" customHeight="1">
      <c r="B153" s="159" t="s">
        <v>144</v>
      </c>
      <c r="C153" s="219" t="s">
        <v>155</v>
      </c>
      <c r="D153" s="219"/>
      <c r="E153" s="219"/>
      <c r="F153" s="219"/>
      <c r="G153" s="219"/>
      <c r="H153" s="219"/>
      <c r="O153" s="154"/>
    </row>
    <row r="154" spans="1:17">
      <c r="F154" s="154"/>
      <c r="O154" s="154"/>
    </row>
    <row r="155" spans="1:17">
      <c r="F155" s="154"/>
      <c r="O155" s="154"/>
    </row>
    <row r="156" spans="1:17">
      <c r="F156" s="154"/>
      <c r="O156" s="154"/>
    </row>
    <row r="157" spans="1:17">
      <c r="F157" s="154"/>
      <c r="O157" s="154"/>
    </row>
    <row r="158" spans="1:17">
      <c r="F158" s="154"/>
      <c r="O158" s="154"/>
    </row>
    <row r="159" spans="1:17">
      <c r="F159" s="154"/>
      <c r="O159" s="154"/>
    </row>
    <row r="160" spans="1:17">
      <c r="F160" s="154"/>
      <c r="O160" s="154"/>
    </row>
    <row r="161" spans="6:15">
      <c r="F161" s="154"/>
      <c r="O161" s="154"/>
    </row>
    <row r="162" spans="6:15">
      <c r="F162" s="154"/>
      <c r="O162" s="154"/>
    </row>
    <row r="163" spans="6:15">
      <c r="F163" s="154"/>
      <c r="O163" s="154"/>
    </row>
    <row r="164" spans="6:15">
      <c r="F164" s="154"/>
      <c r="O164" s="154"/>
    </row>
    <row r="165" spans="6:15">
      <c r="F165" s="154"/>
      <c r="O165" s="154"/>
    </row>
    <row r="166" spans="6:15">
      <c r="F166" s="154"/>
      <c r="O166" s="154"/>
    </row>
    <row r="167" spans="6:15">
      <c r="F167" s="154"/>
      <c r="O167" s="154"/>
    </row>
    <row r="168" spans="6:15">
      <c r="F168" s="154"/>
      <c r="O168" s="154"/>
    </row>
    <row r="169" spans="6:15">
      <c r="F169" s="154"/>
      <c r="O169" s="154"/>
    </row>
    <row r="170" spans="6:15">
      <c r="F170" s="154"/>
      <c r="O170" s="154"/>
    </row>
    <row r="171" spans="6:15">
      <c r="F171" s="154"/>
      <c r="O171" s="154"/>
    </row>
    <row r="172" spans="6:15">
      <c r="F172" s="154"/>
      <c r="O172" s="154"/>
    </row>
    <row r="173" spans="6:15">
      <c r="F173" s="154"/>
      <c r="O173" s="154"/>
    </row>
    <row r="174" spans="6:15">
      <c r="F174" s="154"/>
      <c r="O174" s="154"/>
    </row>
    <row r="175" spans="6:15">
      <c r="F175" s="154"/>
      <c r="O175" s="154"/>
    </row>
    <row r="176" spans="6:15">
      <c r="F176" s="154"/>
      <c r="O176" s="154"/>
    </row>
    <row r="177" spans="6:15">
      <c r="F177" s="154"/>
      <c r="O177" s="154"/>
    </row>
    <row r="178" spans="6:15">
      <c r="F178" s="154"/>
      <c r="O178" s="154"/>
    </row>
    <row r="179" spans="6:15">
      <c r="F179" s="154"/>
      <c r="O179" s="154"/>
    </row>
    <row r="180" spans="6:15">
      <c r="F180" s="154"/>
      <c r="O180" s="154"/>
    </row>
    <row r="181" spans="6:15">
      <c r="F181" s="154"/>
      <c r="O181" s="154"/>
    </row>
    <row r="182" spans="6:15">
      <c r="F182" s="154"/>
      <c r="O182" s="154"/>
    </row>
    <row r="183" spans="6:15">
      <c r="F183" s="154"/>
      <c r="O183" s="154"/>
    </row>
    <row r="184" spans="6:15">
      <c r="F184" s="154"/>
      <c r="O184" s="154"/>
    </row>
    <row r="185" spans="6:15">
      <c r="F185" s="154"/>
      <c r="O185" s="154"/>
    </row>
    <row r="186" spans="6:15">
      <c r="F186" s="154"/>
      <c r="O186" s="154"/>
    </row>
    <row r="187" spans="6:15">
      <c r="F187" s="154"/>
      <c r="O187" s="154"/>
    </row>
    <row r="188" spans="6:15">
      <c r="F188" s="154"/>
      <c r="O188" s="154"/>
    </row>
    <row r="189" spans="6:15">
      <c r="F189" s="154"/>
      <c r="O189" s="154"/>
    </row>
    <row r="190" spans="6:15">
      <c r="F190" s="154"/>
      <c r="O190" s="154"/>
    </row>
    <row r="191" spans="6:15">
      <c r="F191" s="154"/>
      <c r="O191" s="154"/>
    </row>
    <row r="192" spans="6:15">
      <c r="F192" s="154"/>
      <c r="O192" s="154"/>
    </row>
    <row r="193" spans="6:15">
      <c r="F193" s="154"/>
      <c r="O193" s="154"/>
    </row>
    <row r="194" spans="6:15">
      <c r="F194" s="154"/>
      <c r="O194" s="154"/>
    </row>
    <row r="195" spans="6:15">
      <c r="F195" s="154"/>
      <c r="O195" s="154"/>
    </row>
    <row r="196" spans="6:15">
      <c r="F196" s="154"/>
      <c r="O196" s="154"/>
    </row>
    <row r="197" spans="6:15">
      <c r="F197" s="154"/>
      <c r="O197" s="154"/>
    </row>
    <row r="198" spans="6:15">
      <c r="F198" s="154"/>
      <c r="O198" s="154"/>
    </row>
    <row r="199" spans="6:15">
      <c r="F199" s="154"/>
      <c r="O199" s="154"/>
    </row>
    <row r="200" spans="6:15">
      <c r="F200" s="154"/>
      <c r="O200" s="154"/>
    </row>
    <row r="201" spans="6:15">
      <c r="F201" s="154"/>
      <c r="O201" s="154"/>
    </row>
    <row r="202" spans="6:15">
      <c r="F202" s="154"/>
      <c r="O202" s="154"/>
    </row>
    <row r="203" spans="6:15">
      <c r="F203" s="154"/>
      <c r="O203" s="154"/>
    </row>
    <row r="204" spans="6:15">
      <c r="F204" s="154"/>
      <c r="O204" s="154"/>
    </row>
    <row r="205" spans="6:15">
      <c r="F205" s="154"/>
      <c r="O205" s="154"/>
    </row>
    <row r="206" spans="6:15">
      <c r="F206" s="154"/>
      <c r="O206" s="154"/>
    </row>
    <row r="207" spans="6:15">
      <c r="F207" s="154"/>
      <c r="O207" s="154"/>
    </row>
    <row r="208" spans="6:15">
      <c r="F208" s="154"/>
      <c r="O208" s="154"/>
    </row>
    <row r="209" spans="6:15">
      <c r="F209" s="154"/>
      <c r="O209" s="154"/>
    </row>
    <row r="210" spans="6:15">
      <c r="F210" s="154"/>
      <c r="O210" s="154"/>
    </row>
    <row r="211" spans="6:15">
      <c r="F211" s="154"/>
      <c r="O211" s="154"/>
    </row>
    <row r="212" spans="6:15">
      <c r="F212" s="154"/>
      <c r="O212" s="154"/>
    </row>
    <row r="213" spans="6:15">
      <c r="F213" s="154"/>
      <c r="O213" s="154"/>
    </row>
    <row r="214" spans="6:15">
      <c r="F214" s="154"/>
      <c r="O214" s="154"/>
    </row>
    <row r="215" spans="6:15">
      <c r="F215" s="154"/>
      <c r="O215" s="154"/>
    </row>
    <row r="216" spans="6:15">
      <c r="F216" s="154"/>
      <c r="O216" s="154"/>
    </row>
    <row r="217" spans="6:15">
      <c r="F217" s="154"/>
      <c r="O217" s="154"/>
    </row>
    <row r="218" spans="6:15">
      <c r="F218" s="154"/>
      <c r="O218" s="154"/>
    </row>
    <row r="219" spans="6:15">
      <c r="F219" s="154"/>
      <c r="O219" s="154"/>
    </row>
    <row r="220" spans="6:15">
      <c r="F220" s="154"/>
      <c r="O220" s="154"/>
    </row>
    <row r="221" spans="6:15">
      <c r="F221" s="154"/>
      <c r="O221" s="154"/>
    </row>
    <row r="222" spans="6:15">
      <c r="F222" s="154"/>
      <c r="O222" s="154"/>
    </row>
    <row r="223" spans="6:15">
      <c r="F223" s="154"/>
      <c r="O223" s="154"/>
    </row>
    <row r="224" spans="6:15">
      <c r="F224" s="154"/>
      <c r="O224" s="154"/>
    </row>
    <row r="225" spans="6:15">
      <c r="F225" s="154"/>
      <c r="O225" s="154"/>
    </row>
    <row r="226" spans="6:15">
      <c r="F226" s="154"/>
      <c r="O226" s="154"/>
    </row>
    <row r="227" spans="6:15">
      <c r="F227" s="154"/>
      <c r="O227" s="154"/>
    </row>
    <row r="228" spans="6:15">
      <c r="F228" s="154"/>
      <c r="O228" s="154"/>
    </row>
    <row r="229" spans="6:15">
      <c r="F229" s="154"/>
      <c r="O229" s="154"/>
    </row>
    <row r="230" spans="6:15">
      <c r="F230" s="154"/>
      <c r="O230" s="154"/>
    </row>
    <row r="231" spans="6:15">
      <c r="F231" s="154"/>
      <c r="O231" s="154"/>
    </row>
    <row r="232" spans="6:15">
      <c r="F232" s="154"/>
      <c r="O232" s="154"/>
    </row>
    <row r="233" spans="6:15">
      <c r="F233" s="154"/>
      <c r="O233" s="154"/>
    </row>
    <row r="234" spans="6:15">
      <c r="F234" s="154"/>
      <c r="O234" s="154"/>
    </row>
    <row r="235" spans="6:15">
      <c r="F235" s="154"/>
      <c r="O235" s="154"/>
    </row>
    <row r="236" spans="6:15">
      <c r="F236" s="154"/>
      <c r="O236" s="154"/>
    </row>
    <row r="237" spans="6:15">
      <c r="F237" s="154"/>
      <c r="O237" s="154"/>
    </row>
    <row r="238" spans="6:15">
      <c r="F238" s="154"/>
      <c r="O238" s="154"/>
    </row>
    <row r="239" spans="6:15">
      <c r="F239" s="154"/>
    </row>
    <row r="240" spans="6:15">
      <c r="F240" s="154"/>
    </row>
    <row r="241" spans="6:6">
      <c r="F241" s="154"/>
    </row>
    <row r="242" spans="6:6">
      <c r="F242" s="154"/>
    </row>
    <row r="243" spans="6:6">
      <c r="F243" s="154"/>
    </row>
    <row r="244" spans="6:6">
      <c r="F244" s="154"/>
    </row>
    <row r="245" spans="6:6">
      <c r="F245" s="154"/>
    </row>
    <row r="246" spans="6:6">
      <c r="F246" s="154"/>
    </row>
    <row r="247" spans="6:6">
      <c r="F247" s="154"/>
    </row>
  </sheetData>
  <mergeCells count="7">
    <mergeCell ref="C153:H153"/>
    <mergeCell ref="C70:H70"/>
    <mergeCell ref="C88:H88"/>
    <mergeCell ref="A1:I1"/>
    <mergeCell ref="J1:R1"/>
    <mergeCell ref="L70:Q70"/>
    <mergeCell ref="L88:Q88"/>
  </mergeCells>
  <printOptions horizontalCentered="1"/>
  <pageMargins left="0.7" right="0.71" top="0.97" bottom="0.75" header="0.5" footer="0.5"/>
  <pageSetup scale="84" firstPageNumber="7" fitToWidth="0" fitToHeight="0" orientation="portrait" useFirstPageNumber="1" r:id="rId1"/>
  <headerFooter scaleWithDoc="0">
    <oddHeader>&amp;CAvista Corporation Decoupling Mechanism
Washington Jurisdiction
Quarterly Report for 1st Quarter 2018</oddHeader>
    <oddFooter>&amp;Cfile: &amp;F / &amp;A&amp;RPage &amp;P of 9</oddFooter>
  </headerFooter>
  <colBreaks count="1" manualBreakCount="1">
    <brk id="9" max="12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view="pageLayout" topLeftCell="A22" zoomScaleNormal="100" workbookViewId="0">
      <selection activeCell="C39" sqref="C39"/>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4" customWidth="1"/>
    <col min="9" max="12" width="8.5703125" customWidth="1"/>
  </cols>
  <sheetData>
    <row r="1" spans="1:23" ht="28.9" customHeight="1">
      <c r="A1" t="s">
        <v>63</v>
      </c>
    </row>
    <row r="2" spans="1:23" s="35" customFormat="1" ht="14.45" customHeight="1">
      <c r="A2" s="55"/>
      <c r="B2" s="55"/>
      <c r="C2" s="55"/>
      <c r="D2" s="55"/>
      <c r="E2" s="55"/>
      <c r="F2" s="55"/>
      <c r="G2" s="55"/>
      <c r="H2" s="81"/>
      <c r="I2" s="55"/>
      <c r="J2" s="55"/>
      <c r="K2" s="55"/>
    </row>
    <row r="3" spans="1:23" s="35" customFormat="1" ht="75" customHeight="1">
      <c r="A3" s="222" t="s">
        <v>170</v>
      </c>
      <c r="B3" s="222"/>
      <c r="C3" s="222"/>
      <c r="D3" s="222"/>
      <c r="E3" s="222"/>
      <c r="F3" s="222"/>
      <c r="G3" s="222"/>
      <c r="H3" s="222"/>
      <c r="I3" s="222"/>
      <c r="J3" s="222"/>
      <c r="K3" s="222"/>
      <c r="M3"/>
      <c r="N3"/>
      <c r="O3"/>
      <c r="P3"/>
      <c r="Q3"/>
      <c r="R3"/>
      <c r="S3"/>
      <c r="T3"/>
      <c r="U3"/>
      <c r="V3"/>
      <c r="W3"/>
    </row>
    <row r="4" spans="1:23" ht="14.45" customHeight="1"/>
    <row r="5" spans="1:23" ht="14.45" customHeight="1">
      <c r="A5" s="221" t="s">
        <v>83</v>
      </c>
      <c r="B5" s="221"/>
      <c r="C5" s="221"/>
      <c r="D5" s="221"/>
      <c r="E5" s="221"/>
      <c r="F5" s="221"/>
      <c r="G5" s="221"/>
      <c r="H5" s="221"/>
      <c r="I5" s="221"/>
      <c r="J5" s="221"/>
      <c r="K5" s="221"/>
    </row>
    <row r="6" spans="1:23" s="35" customFormat="1" ht="13.9" customHeight="1">
      <c r="A6" s="221" t="s">
        <v>84</v>
      </c>
      <c r="B6" s="221"/>
      <c r="C6" s="221"/>
      <c r="D6" s="221"/>
      <c r="E6" s="221"/>
      <c r="F6" s="221"/>
      <c r="G6" s="221"/>
      <c r="H6" s="221"/>
      <c r="I6" s="221"/>
      <c r="J6" s="221"/>
      <c r="K6" s="221"/>
    </row>
    <row r="7" spans="1:23" ht="28.9" customHeight="1">
      <c r="A7" s="52"/>
      <c r="B7" s="52"/>
      <c r="C7" s="52"/>
      <c r="E7" s="57" t="s">
        <v>77</v>
      </c>
      <c r="F7" s="57" t="s">
        <v>78</v>
      </c>
      <c r="G7" s="60" t="s">
        <v>87</v>
      </c>
      <c r="H7" s="80" t="s">
        <v>92</v>
      </c>
      <c r="I7" s="103" t="s">
        <v>151</v>
      </c>
      <c r="J7" s="57" t="s">
        <v>79</v>
      </c>
      <c r="K7" s="52"/>
      <c r="L7" s="52"/>
    </row>
    <row r="8" spans="1:23" ht="14.45" customHeight="1">
      <c r="A8" s="56" t="s">
        <v>75</v>
      </c>
      <c r="B8" s="24"/>
      <c r="C8" s="24"/>
      <c r="E8" s="24"/>
      <c r="F8" s="24"/>
      <c r="G8" s="24"/>
      <c r="H8" s="24"/>
      <c r="I8" s="24"/>
      <c r="J8" s="24"/>
      <c r="K8" s="24"/>
      <c r="L8" s="24"/>
    </row>
    <row r="9" spans="1:23" ht="14.45" customHeight="1">
      <c r="A9" s="53"/>
      <c r="B9" s="53" t="s">
        <v>76</v>
      </c>
      <c r="C9" s="53"/>
      <c r="E9" s="59">
        <v>-226</v>
      </c>
      <c r="F9" s="59"/>
      <c r="G9" s="76"/>
      <c r="H9" s="101"/>
      <c r="I9" s="76"/>
      <c r="J9" s="181">
        <v>-6.3E-2</v>
      </c>
      <c r="K9" s="53"/>
      <c r="L9" s="53"/>
    </row>
    <row r="10" spans="1:23" ht="14.45" customHeight="1">
      <c r="A10" s="53"/>
      <c r="B10" s="53" t="s">
        <v>85</v>
      </c>
      <c r="C10" s="53"/>
      <c r="E10" s="58">
        <v>-13.21</v>
      </c>
      <c r="F10" s="58"/>
      <c r="G10" s="77"/>
      <c r="H10" s="102"/>
      <c r="I10" s="77"/>
      <c r="J10" s="181">
        <v>-5.7000000000000002E-2</v>
      </c>
      <c r="K10" s="53"/>
      <c r="L10" s="53"/>
    </row>
    <row r="11" spans="1:23">
      <c r="B11" s="35" t="s">
        <v>86</v>
      </c>
      <c r="E11" s="58">
        <v>13.21</v>
      </c>
      <c r="F11" s="58"/>
      <c r="G11" s="58"/>
      <c r="H11" s="58"/>
      <c r="I11" s="77"/>
      <c r="J11" s="39"/>
    </row>
    <row r="12" spans="1:23" s="35" customFormat="1" ht="6" customHeight="1">
      <c r="E12" s="58"/>
      <c r="F12" s="58"/>
      <c r="G12" s="77"/>
      <c r="H12" s="98"/>
      <c r="I12" s="76"/>
      <c r="J12" s="39"/>
    </row>
    <row r="13" spans="1:23">
      <c r="A13" s="56" t="s">
        <v>80</v>
      </c>
      <c r="B13" s="24"/>
      <c r="C13" s="24"/>
      <c r="E13" s="24"/>
      <c r="F13" s="24"/>
      <c r="G13" s="78"/>
      <c r="H13" s="99"/>
      <c r="I13" s="76"/>
      <c r="J13" s="78"/>
      <c r="K13" s="54"/>
      <c r="L13" s="54"/>
    </row>
    <row r="14" spans="1:23">
      <c r="A14" s="53"/>
      <c r="B14" s="53" t="s">
        <v>76</v>
      </c>
      <c r="C14" s="53"/>
      <c r="E14" s="59">
        <v>-376</v>
      </c>
      <c r="F14" s="59"/>
      <c r="G14" s="76"/>
      <c r="H14" s="101"/>
      <c r="I14" s="76"/>
      <c r="J14" s="181">
        <v>-2.5999999999999999E-2</v>
      </c>
      <c r="K14" s="54"/>
      <c r="L14" s="54"/>
    </row>
    <row r="15" spans="1:23" ht="14.45" customHeight="1">
      <c r="A15" s="53"/>
      <c r="B15" s="53" t="s">
        <v>85</v>
      </c>
      <c r="C15" s="53"/>
      <c r="E15" s="58">
        <v>-33.58</v>
      </c>
      <c r="F15" s="58"/>
      <c r="G15" s="77"/>
      <c r="H15" s="102"/>
      <c r="I15" s="77"/>
      <c r="J15" s="181">
        <v>-3.1E-2</v>
      </c>
      <c r="K15" s="54"/>
      <c r="L15" s="54"/>
    </row>
    <row r="16" spans="1:23">
      <c r="B16" s="35" t="s">
        <v>86</v>
      </c>
      <c r="E16" s="58">
        <v>33.58</v>
      </c>
      <c r="F16" s="58"/>
      <c r="G16" s="58"/>
      <c r="H16" s="58"/>
      <c r="I16" s="77"/>
      <c r="J16" s="39"/>
    </row>
    <row r="17" spans="1:19" s="35" customFormat="1" ht="9" customHeight="1">
      <c r="G17" s="39"/>
      <c r="H17" s="100"/>
      <c r="I17" s="76"/>
      <c r="J17" s="39"/>
    </row>
    <row r="18" spans="1:19" ht="14.45" customHeight="1">
      <c r="A18" s="56" t="s">
        <v>81</v>
      </c>
      <c r="B18" s="24"/>
      <c r="C18" s="24"/>
      <c r="E18" s="24"/>
      <c r="F18" s="24"/>
      <c r="G18" s="78"/>
      <c r="H18" s="99"/>
      <c r="I18" s="76"/>
      <c r="J18" s="78"/>
    </row>
    <row r="19" spans="1:19" ht="14.45" customHeight="1">
      <c r="A19" s="53"/>
      <c r="B19" s="53" t="s">
        <v>76</v>
      </c>
      <c r="C19" s="53"/>
      <c r="E19" s="59">
        <v>-8</v>
      </c>
      <c r="F19" s="59"/>
      <c r="G19" s="76"/>
      <c r="H19" s="101"/>
      <c r="I19" s="76"/>
      <c r="J19" s="181">
        <v>-2.3E-2</v>
      </c>
    </row>
    <row r="20" spans="1:19">
      <c r="A20" s="53"/>
      <c r="B20" s="53" t="s">
        <v>85</v>
      </c>
      <c r="C20" s="53"/>
      <c r="E20" s="58">
        <v>-0.39</v>
      </c>
      <c r="F20" s="58"/>
      <c r="G20" s="77"/>
      <c r="H20" s="102"/>
      <c r="I20" s="77"/>
      <c r="J20" s="181">
        <v>-3.0000000000000001E-3</v>
      </c>
    </row>
    <row r="21" spans="1:19" s="35" customFormat="1">
      <c r="A21" s="53"/>
      <c r="B21" s="35" t="s">
        <v>86</v>
      </c>
      <c r="C21" s="53"/>
      <c r="E21" s="58">
        <v>0.39</v>
      </c>
      <c r="F21" s="58"/>
      <c r="G21" s="58"/>
      <c r="H21" s="58"/>
      <c r="I21" s="77"/>
      <c r="J21" s="182"/>
    </row>
    <row r="22" spans="1:19" ht="9" customHeight="1">
      <c r="A22" s="35"/>
      <c r="B22" s="35"/>
      <c r="C22" s="35"/>
      <c r="E22" s="35"/>
      <c r="F22" s="35"/>
      <c r="G22" s="39"/>
      <c r="H22" s="100"/>
      <c r="I22" s="76"/>
      <c r="J22" s="39"/>
    </row>
    <row r="23" spans="1:19">
      <c r="A23" s="56" t="s">
        <v>82</v>
      </c>
      <c r="B23" s="24"/>
      <c r="C23" s="24"/>
      <c r="E23" s="24"/>
      <c r="F23" s="24"/>
      <c r="G23" s="78"/>
      <c r="H23" s="99"/>
      <c r="I23" s="76"/>
      <c r="J23" s="78"/>
    </row>
    <row r="24" spans="1:19">
      <c r="A24" s="53"/>
      <c r="B24" s="53" t="s">
        <v>76</v>
      </c>
      <c r="C24" s="53"/>
      <c r="E24" s="59">
        <v>-707</v>
      </c>
      <c r="F24" s="59"/>
      <c r="G24" s="76"/>
      <c r="H24" s="101"/>
      <c r="I24" s="76"/>
      <c r="J24" s="181">
        <v>-9.5000000000000001E-2</v>
      </c>
    </row>
    <row r="25" spans="1:19">
      <c r="A25" s="53"/>
      <c r="B25" s="53" t="s">
        <v>85</v>
      </c>
      <c r="C25" s="53"/>
      <c r="E25" s="58">
        <v>-192.54</v>
      </c>
      <c r="F25" s="58"/>
      <c r="G25" s="77"/>
      <c r="H25" s="102"/>
      <c r="I25" s="77"/>
      <c r="J25" s="181">
        <v>-9.9000000000000005E-2</v>
      </c>
    </row>
    <row r="26" spans="1:19">
      <c r="B26" s="35" t="s">
        <v>86</v>
      </c>
      <c r="E26" s="58">
        <v>192.54</v>
      </c>
      <c r="F26" s="58"/>
      <c r="G26" s="58"/>
      <c r="H26" s="58"/>
      <c r="I26" s="77"/>
      <c r="J26" s="39"/>
    </row>
    <row r="29" spans="1:19" ht="123" customHeight="1">
      <c r="A29" s="223" t="s">
        <v>169</v>
      </c>
      <c r="B29" s="223"/>
      <c r="C29" s="223"/>
      <c r="D29" s="223"/>
      <c r="E29" s="223"/>
      <c r="F29" s="223"/>
      <c r="G29" s="223"/>
      <c r="H29" s="223"/>
      <c r="I29" s="223"/>
      <c r="J29" s="223"/>
      <c r="K29" s="223"/>
      <c r="L29" s="52"/>
      <c r="M29" s="52"/>
      <c r="N29" s="52"/>
      <c r="O29" s="52"/>
      <c r="P29" s="52"/>
      <c r="Q29" s="52"/>
      <c r="R29" s="52"/>
      <c r="S29" s="52"/>
    </row>
    <row r="30" spans="1:19">
      <c r="L30" s="52"/>
      <c r="M30" s="52"/>
      <c r="N30" s="52"/>
      <c r="O30" s="52"/>
      <c r="P30" s="52"/>
      <c r="Q30" s="52"/>
      <c r="R30" s="52"/>
      <c r="S30" s="52"/>
    </row>
    <row r="31" spans="1:19">
      <c r="L31" s="52"/>
      <c r="M31" s="52"/>
      <c r="N31" s="52"/>
      <c r="O31" s="52"/>
      <c r="P31" s="52"/>
      <c r="Q31" s="52"/>
      <c r="R31" s="52"/>
      <c r="S31" s="52"/>
    </row>
    <row r="32" spans="1:19">
      <c r="L32" s="52"/>
      <c r="M32" s="52"/>
      <c r="N32" s="52"/>
      <c r="O32" s="52"/>
      <c r="P32" s="52"/>
      <c r="Q32" s="52"/>
      <c r="R32" s="52"/>
      <c r="S32" s="52"/>
    </row>
    <row r="33" spans="12:19">
      <c r="L33" s="52"/>
      <c r="M33" s="52"/>
      <c r="N33" s="52"/>
      <c r="O33" s="52"/>
      <c r="P33" s="52"/>
      <c r="Q33" s="52"/>
      <c r="R33" s="52"/>
      <c r="S33" s="52"/>
    </row>
    <row r="34" spans="12:19">
      <c r="L34" s="52"/>
      <c r="M34" s="52"/>
      <c r="N34" s="52"/>
      <c r="O34" s="52"/>
      <c r="P34" s="52"/>
      <c r="Q34" s="52"/>
      <c r="R34" s="52"/>
      <c r="S34" s="52"/>
    </row>
  </sheetData>
  <mergeCells count="4">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1st Quarter 2018</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2018-05-15T07:00:00+00:00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C07A990-7A3C-49ED-AAEC-E9277D4BD6F0}"/>
</file>

<file path=customXml/itemProps2.xml><?xml version="1.0" encoding="utf-8"?>
<ds:datastoreItem xmlns:ds="http://schemas.openxmlformats.org/officeDocument/2006/customXml" ds:itemID="{99A9BB6E-864D-46C7-976F-936825CBB938}"/>
</file>

<file path=customXml/itemProps3.xml><?xml version="1.0" encoding="utf-8"?>
<ds:datastoreItem xmlns:ds="http://schemas.openxmlformats.org/officeDocument/2006/customXml" ds:itemID="{1FF9B596-D8B3-4B5F-A708-FD3FAC756E07}"/>
</file>

<file path=customXml/itemProps4.xml><?xml version="1.0" encoding="utf-8"?>
<ds:datastoreItem xmlns:ds="http://schemas.openxmlformats.org/officeDocument/2006/customXml" ds:itemID="{F56DD076-7641-4E35-B7B4-ADF52B23D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2018-05-14T23:17:51Z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