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stary\Documents\PSE GRC 2022\PETERMAN\Revised Exh\"/>
    </mc:Choice>
  </mc:AlternateContent>
  <xr:revisionPtr revIDLastSave="0" documentId="13_ncr:1_{1CED5D98-6A08-4479-875D-C47AB7512BAA}" xr6:coauthVersionLast="47" xr6:coauthVersionMax="47" xr10:uidLastSave="{00000000-0000-0000-0000-000000000000}"/>
  <bookViews>
    <workbookView xWindow="-120" yWindow="-120" windowWidth="29040" windowHeight="15840" tabRatio="883" firstSheet="1" activeTab="6" xr2:uid="{00000000-000D-0000-FFFF-FFFF00000000}"/>
  </bookViews>
  <sheets>
    <sheet name="Comparison" sheetId="73" state="hidden" r:id="rId1"/>
    <sheet name="1 - Cost of Capital" sheetId="83" r:id="rId2"/>
    <sheet name="2 - CapStructure" sheetId="1" r:id="rId3"/>
    <sheet name="3 - STD Cost Rate" sheetId="2" r:id="rId4"/>
    <sheet name="4 - STD OS &amp; Comm Fees" sheetId="21" r:id="rId5"/>
    <sheet name="5 - STD Amort" sheetId="71" r:id="rId6"/>
    <sheet name="6 - LTD Cost " sheetId="7" r:id="rId7"/>
    <sheet name="7 - Reacquired Debt" sheetId="29" r:id="rId8"/>
    <sheet name="8 - STD Int - Forecast" sheetId="84" r:id="rId9"/>
    <sheet name="Interest Only LTD Cost" sheetId="82" state="hidden" r:id="rId10"/>
    <sheet name="BS-Unamortized" sheetId="79" state="hidden" r:id="rId11"/>
    <sheet name="FERC Rpt" sheetId="72" state="hidden" r:id="rId12"/>
    <sheet name="Appendix --&gt;" sheetId="74" state="hidden" r:id="rId13"/>
    <sheet name="Sheet1" sheetId="80" state="hidden" r:id="rId14"/>
    <sheet name="A1  CofCap-PreMerger Costs" sheetId="75" state="hidden" r:id="rId15"/>
    <sheet name="A2  STD Cost Rate-Prior Fac" sheetId="76" state="hidden" r:id="rId16"/>
    <sheet name="A3  STD Int &amp; Fees-Prior Fac" sheetId="77" state="hidden" r:id="rId17"/>
    <sheet name="A4  STD Amort-Prior Fac" sheetId="78" state="hidden" r:id="rId18"/>
    <sheet name="FERC Presentation" sheetId="81"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A" localSheetId="11">'FERC Rpt'!#REF!</definedName>
    <definedName name="_C_._DOWN_TERM_" localSheetId="8">'[1]CST STD!'!#REF!</definedName>
    <definedName name="_C_._DOWN_TERM_">'[2]CST STD!'!#REF!</definedName>
    <definedName name="_CALC_" localSheetId="11">'FERC Rpt'!#REF!</definedName>
    <definedName name="_DOWN___COUPON_" localSheetId="8">'[1]CST STD!'!#REF!</definedName>
    <definedName name="_DOWN___COUPON_">'[2]CST STD!'!#REF!</definedName>
    <definedName name="_END__DOWN__DOW" localSheetId="8">'[1]CST STD!'!#REF!</definedName>
    <definedName name="_END__DOWN__DOW">'[2]CST STD!'!#REF!</definedName>
    <definedName name="_Fill" localSheetId="11" hidden="1">'FERC Rpt'!$B$1:$M$1</definedName>
    <definedName name="_GOTO_TABLE__PR" localSheetId="8">'[1]CST STD!'!#REF!</definedName>
    <definedName name="_GOTO_TABLE__PR">'[2]CST STD!'!#REF!</definedName>
    <definedName name="_HOME__GOTO_YIE" localSheetId="8">'[1]CST STD!'!#REF!</definedName>
    <definedName name="_HOME__GOTO_YIE">'[2]CST STD!'!#REF!</definedName>
    <definedName name="_LET_YIELD__IRR" localSheetId="8">'[1]CST STD!'!#REF!</definedName>
    <definedName name="_LET_YIELD__IRR">'[2]CST STD!'!#REF!</definedName>
    <definedName name="_PPRA1.H33_AGP" localSheetId="11">'FERC Rpt'!#REF!</definedName>
    <definedName name="_RECASHFLOWS_" localSheetId="8">'[1]CST STD!'!#REF!</definedName>
    <definedName name="_RECASHFLOWS_">'[2]CST STD!'!#REF!</definedName>
    <definedName name="_RNCCASHFLOWS__" localSheetId="8">'[1]CST STD!'!#REF!</definedName>
    <definedName name="_RNCCASHFLOWS__">'[2]CST STD!'!#REF!</definedName>
    <definedName name="_WINDOWSOFF__PA" localSheetId="8">'[1]CST STD!'!#REF!</definedName>
    <definedName name="_WINDOWSOFF__PA">'[2]CST STD!'!#REF!</definedName>
    <definedName name="a" localSheetId="8">'[3]STD Cost'!#REF!</definedName>
    <definedName name="a">'[4]STD Cost'!#REF!</definedName>
    <definedName name="CASHFLOWS" localSheetId="8">'[1]CST STD!'!#REF!</definedName>
    <definedName name="CASHFLOWS">'[2]CST STD!'!#REF!</definedName>
    <definedName name="CRRA38.H65_GQ" localSheetId="11">'FERC Rpt'!$AC$2</definedName>
    <definedName name="_xlnm.Database" localSheetId="8">#REF!</definedName>
    <definedName name="_xlnm.Databas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 localSheetId="8">#REF!</definedName>
    <definedName name="P">#REF!</definedName>
    <definedName name="pagea" localSheetId="8">#REF!</definedName>
    <definedName name="pagea">#REF!</definedName>
    <definedName name="pageb" localSheetId="8">#REF!</definedName>
    <definedName name="pageb">#REF!</definedName>
    <definedName name="_xlnm.Print_Area" localSheetId="1">'1 - Cost of Capital'!$A$1:$G$49</definedName>
    <definedName name="_xlnm.Print_Area" localSheetId="2">'2 - CapStructure'!$A$1:$Q$44</definedName>
    <definedName name="_xlnm.Print_Area" localSheetId="3">'3 - STD Cost Rate'!$A$1:$G$35</definedName>
    <definedName name="_xlnm.Print_Area" localSheetId="4">'4 - STD OS &amp; Comm Fees'!$A$1:$K$36</definedName>
    <definedName name="_xlnm.Print_Area" localSheetId="5">'5 - STD Amort'!$A$1:$G$35</definedName>
    <definedName name="_xlnm.Print_Area" localSheetId="6">'6 - LTD Cost '!$A$1:$Z$36</definedName>
    <definedName name="_xlnm.Print_Area" localSheetId="7">'7 - Reacquired Debt'!$A$1:$J$42</definedName>
    <definedName name="_xlnm.Print_Area" localSheetId="8">'8 - STD Int - Forecast'!$A$1:$F$33</definedName>
    <definedName name="_xlnm.Print_Area" localSheetId="14">'A1  CofCap-PreMerger Costs'!$A$1:$F$24</definedName>
    <definedName name="_xlnm.Print_Area" localSheetId="15">'A2  STD Cost Rate-Prior Fac'!$A$2:$G$36</definedName>
    <definedName name="_xlnm.Print_Area" localSheetId="16" xml:space="preserve">                        'A3  STD Int &amp; Fees-Prior Fac'!$A$1:$L$40</definedName>
    <definedName name="_xlnm.Print_Area" localSheetId="17">'A4  STD Amort-Prior Fac'!$A$1:$G$30</definedName>
    <definedName name="_xlnm.Print_Area" localSheetId="0" xml:space="preserve">      Comparison!$A$33:$K$79</definedName>
    <definedName name="_xlnm.Print_Area" localSheetId="11">'FERC Rpt'!$A$1:$G$36</definedName>
    <definedName name="_xlnm.Print_Titles" localSheetId="6">'6 - LTD Cost '!$A:$I</definedName>
    <definedName name="_xlnm.Print_Titles" localSheetId="7">'7 - Reacquired Debt'!$1:$7</definedName>
    <definedName name="_xlnm.Print_Titles" localSheetId="12">'Appendix --&gt;'!$B:$E,'Appendix --&gt;'!$1:$2</definedName>
    <definedName name="TABLE" localSheetId="8">'[1]CST STD!'!#REF!</definedName>
    <definedName name="TABLE">'[2]CST STD!'!#REF!</definedName>
    <definedName name="tblAmount">OFFSET([5]Amount_Data!$E$2,0,0,COUNTA([5]Amount_Data!$A:$A)-1-COUNTIF([5]Amount_Data!$A:$A,TODAY()),COUNTA([5]Amount_Data!$2:$2)-4)</definedName>
    <definedName name="Total_Annual_Charge" localSheetId="8">[3]BONDRATE!#REF!</definedName>
    <definedName name="Total_Annual_Charge">[4]BONDRATE!#REF!</definedName>
    <definedName name="Total_OS_Amount" localSheetId="8">[3]BONDRATE!#REF!</definedName>
    <definedName name="Total_OS_Amount">[4]BONDRATE!#REF!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84" l="1"/>
  <c r="D11" i="84"/>
  <c r="C11" i="84"/>
  <c r="E24" i="84"/>
  <c r="D24" i="84"/>
  <c r="E16" i="84"/>
  <c r="D16" i="84"/>
  <c r="C16" i="84"/>
  <c r="A7" i="84"/>
  <c r="A8" i="84" s="1"/>
  <c r="A10" i="84" s="1"/>
  <c r="A11" i="84" s="1"/>
  <c r="A12" i="84" s="1"/>
  <c r="A13" i="84" s="1"/>
  <c r="A15" i="84" s="1"/>
  <c r="A16" i="84" s="1"/>
  <c r="A17" i="84" s="1"/>
  <c r="A18" i="84" s="1"/>
  <c r="A20" i="84" s="1"/>
  <c r="A21" i="84" s="1"/>
  <c r="A22" i="84" s="1"/>
  <c r="A24" i="84" s="1"/>
  <c r="A26" i="84" s="1"/>
  <c r="A27" i="84" s="1"/>
  <c r="A28" i="84" s="1"/>
  <c r="A29" i="84" s="1"/>
  <c r="M42" i="1"/>
  <c r="N42" i="1" s="1"/>
  <c r="O42" i="1" s="1"/>
  <c r="M41" i="1"/>
  <c r="N41" i="1" s="1"/>
  <c r="O41" i="1" s="1"/>
  <c r="N36" i="1"/>
  <c r="O36" i="1" s="1"/>
  <c r="M36" i="1"/>
  <c r="O34" i="1"/>
  <c r="N34" i="1"/>
  <c r="M34" i="1"/>
  <c r="O12" i="1"/>
  <c r="N12" i="1"/>
  <c r="M12" i="1"/>
  <c r="T7" i="1" l="1"/>
  <c r="F8" i="84" s="1"/>
  <c r="K42" i="1"/>
  <c r="J42" i="1"/>
  <c r="I42" i="1"/>
  <c r="H42" i="1"/>
  <c r="G42" i="1"/>
  <c r="F42" i="1"/>
  <c r="D42" i="1"/>
  <c r="C42" i="1"/>
  <c r="L40" i="1"/>
  <c r="M40" i="1" s="1"/>
  <c r="N40" i="1" s="1"/>
  <c r="O40" i="1" s="1"/>
  <c r="K40" i="1"/>
  <c r="J40" i="1"/>
  <c r="I40" i="1"/>
  <c r="H40" i="1"/>
  <c r="G40" i="1"/>
  <c r="F40" i="1"/>
  <c r="E40" i="1"/>
  <c r="D40" i="1"/>
  <c r="C40" i="1"/>
  <c r="A31" i="29" l="1"/>
  <c r="A32" i="29" s="1"/>
  <c r="A33" i="29" s="1"/>
  <c r="A34" i="29" s="1"/>
  <c r="A36" i="29"/>
  <c r="A37" i="29" s="1"/>
  <c r="A38" i="29" s="1"/>
  <c r="A39" i="29" s="1"/>
  <c r="A41" i="29"/>
  <c r="H24" i="7"/>
  <c r="X24" i="7" s="1"/>
  <c r="F24" i="7"/>
  <c r="D18" i="84" l="1"/>
  <c r="C22" i="84"/>
  <c r="I24" i="7"/>
  <c r="E18" i="84" l="1"/>
  <c r="E22" i="84" s="1"/>
  <c r="D22" i="84"/>
  <c r="E16" i="2"/>
  <c r="C16" i="2"/>
  <c r="D17" i="84" l="1"/>
  <c r="C21" i="84"/>
  <c r="C27" i="84" s="1"/>
  <c r="E16" i="71"/>
  <c r="E15" i="71"/>
  <c r="E17" i="84" l="1"/>
  <c r="E21" i="84" s="1"/>
  <c r="E27" i="84" s="1"/>
  <c r="D21" i="84"/>
  <c r="D27" i="84" s="1"/>
  <c r="F23" i="7"/>
  <c r="E23" i="71" l="1"/>
  <c r="E22" i="71"/>
  <c r="E21" i="71"/>
  <c r="E20" i="71"/>
  <c r="E19" i="71"/>
  <c r="E18" i="71"/>
  <c r="E17" i="71"/>
  <c r="Q9" i="1" l="1"/>
  <c r="O43" i="1"/>
  <c r="M43" i="1"/>
  <c r="E26" i="71"/>
  <c r="E25" i="71"/>
  <c r="E24" i="71"/>
  <c r="E27" i="71" s="1"/>
  <c r="E31" i="71" s="1"/>
  <c r="I24" i="29"/>
  <c r="D27" i="71"/>
  <c r="D31" i="71" s="1"/>
  <c r="F27" i="71"/>
  <c r="F31" i="71" s="1"/>
  <c r="C27" i="71"/>
  <c r="C31" i="71" s="1"/>
  <c r="C14" i="2"/>
  <c r="Q12" i="1"/>
  <c r="H23" i="7"/>
  <c r="X23" i="7" s="1"/>
  <c r="Q36" i="1"/>
  <c r="Q34" i="1"/>
  <c r="E38" i="1"/>
  <c r="D38" i="1"/>
  <c r="C38" i="1"/>
  <c r="F22" i="7"/>
  <c r="F6" i="7"/>
  <c r="Q7" i="1"/>
  <c r="C11" i="21" s="1"/>
  <c r="C13" i="2" s="1"/>
  <c r="B3" i="29"/>
  <c r="A2" i="7"/>
  <c r="B3" i="71"/>
  <c r="B3" i="21"/>
  <c r="B4" i="2"/>
  <c r="E26" i="21"/>
  <c r="G26" i="21"/>
  <c r="H26" i="21"/>
  <c r="J26" i="21" s="1"/>
  <c r="F13" i="21" s="1"/>
  <c r="A27" i="21"/>
  <c r="A28" i="21"/>
  <c r="A29" i="21" s="1"/>
  <c r="A30" i="21" s="1"/>
  <c r="A31" i="21" s="1"/>
  <c r="A32" i="21" s="1"/>
  <c r="A33" i="21" s="1"/>
  <c r="A34" i="21" s="1"/>
  <c r="A35" i="21" s="1"/>
  <c r="A36" i="21" s="1"/>
  <c r="E13" i="21"/>
  <c r="A14" i="21"/>
  <c r="A15" i="21" s="1"/>
  <c r="A16" i="21" s="1"/>
  <c r="H22" i="7"/>
  <c r="X22" i="7" s="1"/>
  <c r="V27" i="7"/>
  <c r="U27" i="7"/>
  <c r="T27" i="7"/>
  <c r="G27" i="21"/>
  <c r="H27" i="21" s="1"/>
  <c r="Q41" i="1"/>
  <c r="Q14" i="1"/>
  <c r="M38" i="1"/>
  <c r="N38" i="1"/>
  <c r="O38" i="1"/>
  <c r="O16" i="1"/>
  <c r="N16" i="1"/>
  <c r="M16" i="1"/>
  <c r="M10" i="1"/>
  <c r="N10" i="1"/>
  <c r="O10" i="1"/>
  <c r="Q8" i="1"/>
  <c r="D16" i="2"/>
  <c r="A16" i="2"/>
  <c r="A17" i="2" s="1"/>
  <c r="A18" i="2" s="1"/>
  <c r="A19" i="2" s="1"/>
  <c r="A20" i="2" s="1"/>
  <c r="A21" i="2" s="1"/>
  <c r="A22" i="2" s="1"/>
  <c r="A23" i="2" s="1"/>
  <c r="A24" i="2" s="1"/>
  <c r="A25" i="2" s="1"/>
  <c r="A26" i="2" s="1"/>
  <c r="A27" i="2" s="1"/>
  <c r="A28" i="2" s="1"/>
  <c r="E15" i="21"/>
  <c r="E14" i="21"/>
  <c r="E27" i="21"/>
  <c r="G31" i="21" s="1"/>
  <c r="J31" i="21" s="1"/>
  <c r="J32" i="21" s="1"/>
  <c r="F15" i="21" s="1"/>
  <c r="E12" i="21"/>
  <c r="E12" i="77" s="1"/>
  <c r="F7" i="7"/>
  <c r="F8" i="7"/>
  <c r="F9" i="7"/>
  <c r="F10" i="7"/>
  <c r="F11" i="7"/>
  <c r="F12" i="7"/>
  <c r="F13" i="7"/>
  <c r="F14" i="7"/>
  <c r="F15" i="7"/>
  <c r="F16" i="7"/>
  <c r="F17" i="7"/>
  <c r="F18" i="7"/>
  <c r="F19" i="7"/>
  <c r="F20" i="7"/>
  <c r="F21" i="7"/>
  <c r="T5" i="7"/>
  <c r="U5" i="7"/>
  <c r="V5" i="7"/>
  <c r="C16" i="1"/>
  <c r="D16" i="1"/>
  <c r="E16" i="1"/>
  <c r="F16" i="1"/>
  <c r="H16" i="1"/>
  <c r="I16" i="1"/>
  <c r="J16" i="1"/>
  <c r="L43" i="1"/>
  <c r="K43" i="1"/>
  <c r="J43" i="1"/>
  <c r="L16" i="1"/>
  <c r="K16" i="1"/>
  <c r="Q42" i="1"/>
  <c r="I43" i="1"/>
  <c r="I38" i="1"/>
  <c r="H43" i="1"/>
  <c r="G43" i="1"/>
  <c r="F43" i="1"/>
  <c r="G16" i="1"/>
  <c r="E43" i="1"/>
  <c r="A9" i="83"/>
  <c r="A10" i="83"/>
  <c r="A11" i="83" s="1"/>
  <c r="A12" i="83" s="1"/>
  <c r="A13" i="83" s="1"/>
  <c r="A14" i="83" s="1"/>
  <c r="A15" i="83" s="1"/>
  <c r="A16" i="83" s="1"/>
  <c r="A17" i="83" s="1"/>
  <c r="S5" i="7"/>
  <c r="R5" i="7"/>
  <c r="Q5" i="7"/>
  <c r="P5" i="7"/>
  <c r="O5" i="7"/>
  <c r="N5" i="7"/>
  <c r="M5" i="7"/>
  <c r="L5" i="7"/>
  <c r="K5" i="7"/>
  <c r="J5" i="7"/>
  <c r="K38" i="1"/>
  <c r="J38" i="1"/>
  <c r="J44" i="1" s="1"/>
  <c r="J46" i="1" s="1"/>
  <c r="H38" i="1"/>
  <c r="G38" i="1"/>
  <c r="F38" i="1"/>
  <c r="K10" i="1"/>
  <c r="J10" i="1"/>
  <c r="J22" i="1" s="1"/>
  <c r="J27" i="1" s="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F26" i="82"/>
  <c r="H25" i="82"/>
  <c r="Y25" i="82" s="1"/>
  <c r="F25" i="82"/>
  <c r="H24" i="82"/>
  <c r="Y24" i="82" s="1"/>
  <c r="F24" i="82"/>
  <c r="H23" i="82"/>
  <c r="Y23" i="82" s="1"/>
  <c r="F23" i="82"/>
  <c r="H22" i="82"/>
  <c r="F22" i="82"/>
  <c r="H21" i="82"/>
  <c r="Y21" i="82" s="1"/>
  <c r="F21" i="82"/>
  <c r="H20" i="82"/>
  <c r="Y20" i="82" s="1"/>
  <c r="F20" i="82"/>
  <c r="H19" i="82"/>
  <c r="Y19" i="82" s="1"/>
  <c r="F19" i="82"/>
  <c r="H18" i="82"/>
  <c r="Y18" i="82" s="1"/>
  <c r="F18" i="82"/>
  <c r="H17" i="82"/>
  <c r="F17" i="82"/>
  <c r="H16" i="82"/>
  <c r="I16" i="82" s="1"/>
  <c r="F16" i="82"/>
  <c r="H15" i="82"/>
  <c r="Y15" i="82" s="1"/>
  <c r="F15" i="82"/>
  <c r="H14" i="82"/>
  <c r="F14" i="82"/>
  <c r="H13" i="82"/>
  <c r="Y13" i="82" s="1"/>
  <c r="F13" i="82"/>
  <c r="H12" i="82"/>
  <c r="Y12" i="82" s="1"/>
  <c r="F12" i="82"/>
  <c r="H11" i="82"/>
  <c r="Y11" i="82" s="1"/>
  <c r="F11" i="82"/>
  <c r="H10" i="82"/>
  <c r="Y10" i="82" s="1"/>
  <c r="F10" i="82"/>
  <c r="H9" i="82"/>
  <c r="F9" i="82"/>
  <c r="H8" i="82"/>
  <c r="F8" i="82"/>
  <c r="H7" i="82"/>
  <c r="Y7" i="82" s="1"/>
  <c r="F7" i="82"/>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L38" i="1"/>
  <c r="C25" i="81" s="1"/>
  <c r="L10" i="1"/>
  <c r="F27" i="80"/>
  <c r="I27" i="80" s="1"/>
  <c r="F26" i="80"/>
  <c r="F25" i="80"/>
  <c r="F24" i="80"/>
  <c r="F23" i="80"/>
  <c r="I23" i="80" s="1"/>
  <c r="F22" i="80"/>
  <c r="F21" i="80"/>
  <c r="F20" i="80"/>
  <c r="F19" i="80"/>
  <c r="I19" i="80" s="1"/>
  <c r="F18" i="80"/>
  <c r="F17" i="80"/>
  <c r="F16" i="80"/>
  <c r="F15" i="80"/>
  <c r="F14" i="80"/>
  <c r="F13" i="80"/>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s="1"/>
  <c r="H25" i="80"/>
  <c r="H24" i="80"/>
  <c r="X24" i="80" s="1"/>
  <c r="H23" i="80"/>
  <c r="X23" i="80" s="1"/>
  <c r="H22" i="80"/>
  <c r="I22" i="80" s="1"/>
  <c r="H21" i="80"/>
  <c r="X21" i="80" s="1"/>
  <c r="H20" i="80"/>
  <c r="X20" i="80" s="1"/>
  <c r="H19" i="80"/>
  <c r="H18" i="80"/>
  <c r="X18" i="80" s="1"/>
  <c r="H17" i="80"/>
  <c r="X17" i="80" s="1"/>
  <c r="H16" i="80"/>
  <c r="H15" i="80"/>
  <c r="X15" i="80" s="1"/>
  <c r="H14" i="80"/>
  <c r="X14" i="80" s="1"/>
  <c r="H13" i="80"/>
  <c r="X13" i="80" s="1"/>
  <c r="H12" i="80"/>
  <c r="I12" i="80" s="1"/>
  <c r="X12" i="80"/>
  <c r="H11" i="80"/>
  <c r="X11" i="80" s="1"/>
  <c r="H10" i="80"/>
  <c r="I10" i="80" s="1"/>
  <c r="H9" i="80"/>
  <c r="X9" i="80" s="1"/>
  <c r="H8" i="80"/>
  <c r="I8" i="80" s="1"/>
  <c r="H7" i="80"/>
  <c r="X7" i="80"/>
  <c r="H6" i="80"/>
  <c r="X6" i="80" s="1"/>
  <c r="A6" i="80"/>
  <c r="A7" i="80" s="1"/>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s="1"/>
  <c r="A21" i="21"/>
  <c r="A22" i="21" s="1"/>
  <c r="A23" i="21" s="1"/>
  <c r="A24" i="21" s="1"/>
  <c r="A25" i="21" s="1"/>
  <c r="E13" i="77"/>
  <c r="G13" i="77"/>
  <c r="S42" i="79"/>
  <c r="S43" i="79"/>
  <c r="S41" i="79"/>
  <c r="C8" i="73"/>
  <c r="D7" i="73"/>
  <c r="G13" i="73"/>
  <c r="H11" i="7"/>
  <c r="X11" i="7" s="1"/>
  <c r="H10" i="7"/>
  <c r="I10" i="7" s="1"/>
  <c r="D21" i="29"/>
  <c r="C15" i="2"/>
  <c r="C17" i="2" s="1"/>
  <c r="F31" i="7" s="1"/>
  <c r="C24" i="73"/>
  <c r="D24" i="73" s="1"/>
  <c r="D23" i="73"/>
  <c r="G29" i="73" s="1"/>
  <c r="G57" i="73"/>
  <c r="F53" i="73" s="1"/>
  <c r="D55" i="73"/>
  <c r="G61" i="73" s="1"/>
  <c r="D56" i="73"/>
  <c r="G62" i="73"/>
  <c r="D54" i="73"/>
  <c r="D53" i="73"/>
  <c r="D57" i="73" s="1"/>
  <c r="B57" i="73"/>
  <c r="H20" i="7"/>
  <c r="H19" i="7"/>
  <c r="X19" i="7" s="1"/>
  <c r="H18" i="7"/>
  <c r="X18" i="7" s="1"/>
  <c r="B3" i="78"/>
  <c r="C11" i="77"/>
  <c r="C13" i="76" s="1"/>
  <c r="C13" i="77"/>
  <c r="E14" i="77"/>
  <c r="G14" i="77" s="1"/>
  <c r="D14" i="77" s="1"/>
  <c r="E16" i="76" s="1"/>
  <c r="D16" i="76" s="1"/>
  <c r="C14" i="77"/>
  <c r="C16" i="76"/>
  <c r="H29" i="77"/>
  <c r="J29" i="77"/>
  <c r="H28" i="77"/>
  <c r="J28" i="77" s="1"/>
  <c r="B3" i="77"/>
  <c r="E23" i="77"/>
  <c r="E24" i="77"/>
  <c r="J24" i="77" s="1"/>
  <c r="H14" i="77" s="1"/>
  <c r="B5" i="76"/>
  <c r="B5" i="75"/>
  <c r="E19" i="75"/>
  <c r="I25" i="29"/>
  <c r="H17" i="7"/>
  <c r="X17" i="7" s="1"/>
  <c r="H16" i="7"/>
  <c r="X16" i="7" s="1"/>
  <c r="H6" i="7"/>
  <c r="I6" i="7" s="1"/>
  <c r="H7" i="7"/>
  <c r="X7" i="7" s="1"/>
  <c r="H8" i="7"/>
  <c r="X8" i="7"/>
  <c r="H9" i="7"/>
  <c r="X9" i="7" s="1"/>
  <c r="H12" i="7"/>
  <c r="H13" i="7"/>
  <c r="H14" i="7"/>
  <c r="I14" i="7" s="1"/>
  <c r="H15" i="7"/>
  <c r="X15" i="7" s="1"/>
  <c r="A9" i="78"/>
  <c r="A10" i="78" s="1"/>
  <c r="A11" i="78" s="1"/>
  <c r="A12" i="78" s="1"/>
  <c r="A13" i="78" s="1"/>
  <c r="A14" i="78" s="1"/>
  <c r="A15" i="78" s="1"/>
  <c r="A16" i="78" s="1"/>
  <c r="A17" i="78" s="1"/>
  <c r="A18" i="78" s="1"/>
  <c r="A19" i="78" s="1"/>
  <c r="A20" i="78" s="1"/>
  <c r="A21" i="78" s="1"/>
  <c r="A22" i="78" s="1"/>
  <c r="A23" i="78" s="1"/>
  <c r="A24" i="78" s="1"/>
  <c r="A25" i="78" s="1"/>
  <c r="C25" i="78"/>
  <c r="D25" i="78"/>
  <c r="E25" i="78" s="1"/>
  <c r="E21" i="76" s="1"/>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s="1"/>
  <c r="A11" i="76" s="1"/>
  <c r="A12" i="76" s="1"/>
  <c r="A13" i="76" s="1"/>
  <c r="A14" i="76" s="1"/>
  <c r="A15" i="76" s="1"/>
  <c r="A16" i="76" s="1"/>
  <c r="A17" i="76" s="1"/>
  <c r="A18" i="76" s="1"/>
  <c r="A19" i="76" s="1"/>
  <c r="A20" i="76" s="1"/>
  <c r="A21" i="76" s="1"/>
  <c r="A22" i="76" s="1"/>
  <c r="A23" i="76" s="1"/>
  <c r="A24" i="76" s="1"/>
  <c r="A25" i="76" s="1"/>
  <c r="A26" i="76" s="1"/>
  <c r="A27" i="76" s="1"/>
  <c r="A28" i="76" s="1"/>
  <c r="A10" i="75"/>
  <c r="A11" i="75" s="1"/>
  <c r="A12" i="75" s="1"/>
  <c r="A13" i="75" s="1"/>
  <c r="A14" i="75" s="1"/>
  <c r="A15" i="75" s="1"/>
  <c r="A16" i="75" s="1"/>
  <c r="A17" i="75" s="1"/>
  <c r="A18" i="75" s="1"/>
  <c r="A19" i="75" s="1"/>
  <c r="A20" i="75" s="1"/>
  <c r="A21" i="75" s="1"/>
  <c r="A22" i="75" s="1"/>
  <c r="A23" i="75" s="1"/>
  <c r="A24" i="75" s="1"/>
  <c r="D20" i="29"/>
  <c r="D19" i="29"/>
  <c r="D18" i="29"/>
  <c r="H13" i="29"/>
  <c r="H12" i="29"/>
  <c r="D40" i="73"/>
  <c r="G46" i="73" s="1"/>
  <c r="D39" i="73"/>
  <c r="G45" i="73"/>
  <c r="D38" i="73"/>
  <c r="D37" i="73"/>
  <c r="B108" i="73"/>
  <c r="B109" i="73"/>
  <c r="B124" i="73"/>
  <c r="G127" i="73" s="1"/>
  <c r="D124" i="73"/>
  <c r="D125" i="73"/>
  <c r="G131" i="73"/>
  <c r="B126" i="73"/>
  <c r="D126" i="73" s="1"/>
  <c r="G132" i="73" s="1"/>
  <c r="D123" i="73"/>
  <c r="G109" i="73"/>
  <c r="F106" i="73" s="1"/>
  <c r="D107" i="73"/>
  <c r="G113" i="73" s="1"/>
  <c r="D106" i="73"/>
  <c r="D105" i="73"/>
  <c r="G41" i="73"/>
  <c r="F38" i="73" s="1"/>
  <c r="B41" i="73"/>
  <c r="D69" i="73"/>
  <c r="G73" i="73"/>
  <c r="F69" i="73" s="1"/>
  <c r="D70" i="73"/>
  <c r="D71" i="73"/>
  <c r="G77" i="73"/>
  <c r="D72" i="73"/>
  <c r="G78" i="73" s="1"/>
  <c r="B73" i="73"/>
  <c r="D87" i="73"/>
  <c r="G91" i="73"/>
  <c r="D88" i="73"/>
  <c r="D89" i="73"/>
  <c r="G95" i="73" s="1"/>
  <c r="D90" i="73"/>
  <c r="G96" i="73" s="1"/>
  <c r="B91" i="73"/>
  <c r="F25" i="72"/>
  <c r="S27" i="7"/>
  <c r="C14" i="81" s="1"/>
  <c r="X28" i="7"/>
  <c r="A6" i="21"/>
  <c r="A7" i="21" s="1"/>
  <c r="A8" i="21" s="1"/>
  <c r="A9" i="21" s="1"/>
  <c r="A10" i="21" s="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c r="A18" i="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9" i="2"/>
  <c r="A10" i="2" s="1"/>
  <c r="A11" i="2" s="1"/>
  <c r="A12" i="2" s="1"/>
  <c r="A13" i="2" s="1"/>
  <c r="A14" i="2" s="1"/>
  <c r="Q27" i="7"/>
  <c r="R27" i="7"/>
  <c r="P27" i="7"/>
  <c r="O27" i="7"/>
  <c r="N27" i="7"/>
  <c r="M27" i="7"/>
  <c r="L27" i="7"/>
  <c r="K27" i="7"/>
  <c r="J27" i="7"/>
  <c r="M42" i="7"/>
  <c r="N42" i="7"/>
  <c r="O42" i="7"/>
  <c r="P42" i="7"/>
  <c r="Q42" i="7"/>
  <c r="R42" i="7"/>
  <c r="S42" i="7"/>
  <c r="J42" i="7"/>
  <c r="K42" i="7"/>
  <c r="L42" i="7"/>
  <c r="D13" i="29"/>
  <c r="D12" i="29"/>
  <c r="D21" i="73"/>
  <c r="G25" i="73"/>
  <c r="F22" i="73" s="1"/>
  <c r="F21" i="73"/>
  <c r="B25" i="73"/>
  <c r="D22" i="73"/>
  <c r="E14" i="2"/>
  <c r="D14" i="2" s="1"/>
  <c r="C12" i="77"/>
  <c r="C14" i="76"/>
  <c r="I7" i="80"/>
  <c r="I14" i="80"/>
  <c r="I24" i="82"/>
  <c r="E17" i="75"/>
  <c r="C6" i="73"/>
  <c r="D43" i="1"/>
  <c r="I26" i="80"/>
  <c r="X19" i="80"/>
  <c r="D108" i="73"/>
  <c r="G114" i="73" s="1"/>
  <c r="I9" i="80"/>
  <c r="I23" i="82"/>
  <c r="I8" i="7"/>
  <c r="I19" i="7"/>
  <c r="I20" i="80"/>
  <c r="I27" i="82"/>
  <c r="I19" i="82"/>
  <c r="Y22" i="82"/>
  <c r="F13" i="77"/>
  <c r="Y14" i="82"/>
  <c r="Y16" i="82"/>
  <c r="Y26" i="82"/>
  <c r="I10" i="82"/>
  <c r="C15" i="75"/>
  <c r="C21" i="75" s="1"/>
  <c r="X22" i="80"/>
  <c r="C43" i="1"/>
  <c r="C44" i="1" s="1"/>
  <c r="C46" i="1" s="1"/>
  <c r="C17" i="75"/>
  <c r="C19" i="75"/>
  <c r="D17" i="75"/>
  <c r="B6" i="73"/>
  <c r="D15" i="75"/>
  <c r="D21" i="75" s="1"/>
  <c r="B5" i="73"/>
  <c r="B9" i="73" s="1"/>
  <c r="B8" i="73"/>
  <c r="D19" i="75"/>
  <c r="C5" i="73"/>
  <c r="F27" i="7" l="1"/>
  <c r="F29" i="7" s="1"/>
  <c r="F54" i="73"/>
  <c r="G55" i="73" s="1"/>
  <c r="G56" i="73" s="1"/>
  <c r="G60" i="73" s="1"/>
  <c r="G63" i="73" s="1"/>
  <c r="I14" i="82"/>
  <c r="I18" i="82"/>
  <c r="I26" i="82"/>
  <c r="I15" i="82"/>
  <c r="I15" i="80"/>
  <c r="I17" i="80"/>
  <c r="B127" i="73"/>
  <c r="F17" i="75"/>
  <c r="I7" i="82"/>
  <c r="X10" i="80"/>
  <c r="D129" i="73"/>
  <c r="D132" i="73" s="1"/>
  <c r="I11" i="82"/>
  <c r="F44" i="1"/>
  <c r="F46" i="1" s="1"/>
  <c r="G24" i="77"/>
  <c r="F30" i="80"/>
  <c r="I21" i="80"/>
  <c r="I18" i="7"/>
  <c r="C14" i="72"/>
  <c r="C19" i="72" s="1"/>
  <c r="C40" i="72" s="1"/>
  <c r="J30" i="77"/>
  <c r="H15" i="77" s="1"/>
  <c r="C16" i="21"/>
  <c r="I11" i="7"/>
  <c r="I9" i="7"/>
  <c r="I21" i="7"/>
  <c r="G30" i="73"/>
  <c r="D27" i="73"/>
  <c r="D30" i="73" s="1"/>
  <c r="F123" i="73"/>
  <c r="D5" i="73"/>
  <c r="D9" i="73" s="1"/>
  <c r="I13" i="80"/>
  <c r="X14" i="7"/>
  <c r="I22" i="82"/>
  <c r="I24" i="80"/>
  <c r="I25" i="82"/>
  <c r="D73" i="73"/>
  <c r="I18" i="80"/>
  <c r="G9" i="73"/>
  <c r="F6" i="73" s="1"/>
  <c r="F124" i="73"/>
  <c r="F37" i="73"/>
  <c r="G39" i="73" s="1"/>
  <c r="G40" i="73" s="1"/>
  <c r="G44" i="73" s="1"/>
  <c r="G47" i="73" s="1"/>
  <c r="I17" i="7"/>
  <c r="I15" i="7"/>
  <c r="G23" i="77"/>
  <c r="H23" i="77" s="1"/>
  <c r="J23" i="77" s="1"/>
  <c r="I32" i="29"/>
  <c r="I7" i="7"/>
  <c r="I12" i="82"/>
  <c r="D6" i="73"/>
  <c r="D25" i="73"/>
  <c r="D75" i="73"/>
  <c r="D78" i="73" s="1"/>
  <c r="F19" i="75"/>
  <c r="C15" i="76"/>
  <c r="I21" i="82"/>
  <c r="D91" i="73"/>
  <c r="D13" i="77"/>
  <c r="E15" i="76" s="1"/>
  <c r="D15" i="76" s="1"/>
  <c r="D8" i="73"/>
  <c r="G14" i="73" s="1"/>
  <c r="I13" i="82"/>
  <c r="X8" i="80"/>
  <c r="L22" i="1"/>
  <c r="L28" i="1" s="1"/>
  <c r="I9" i="82"/>
  <c r="J25" i="77"/>
  <c r="H13" i="77"/>
  <c r="H16" i="77" s="1"/>
  <c r="E19" i="76" s="1"/>
  <c r="X10" i="7"/>
  <c r="Y17" i="82"/>
  <c r="I17" i="82"/>
  <c r="X20" i="7"/>
  <c r="I20" i="7"/>
  <c r="I11" i="80"/>
  <c r="D127" i="73"/>
  <c r="I25" i="80"/>
  <c r="X25" i="80"/>
  <c r="D111" i="73"/>
  <c r="D114" i="73" s="1"/>
  <c r="D109" i="73"/>
  <c r="F30" i="82"/>
  <c r="I6" i="82"/>
  <c r="D93" i="73"/>
  <c r="D96" i="73" s="1"/>
  <c r="X6" i="7"/>
  <c r="X12" i="7"/>
  <c r="I12" i="7"/>
  <c r="C17" i="76"/>
  <c r="C23" i="76" s="1"/>
  <c r="Y8" i="82"/>
  <c r="I8" i="82"/>
  <c r="D43" i="73"/>
  <c r="D46" i="73" s="1"/>
  <c r="D41" i="73"/>
  <c r="F87" i="73"/>
  <c r="F88" i="73"/>
  <c r="F70" i="73"/>
  <c r="G71" i="73" s="1"/>
  <c r="G72" i="73" s="1"/>
  <c r="G76" i="73" s="1"/>
  <c r="G79" i="73" s="1"/>
  <c r="I16" i="80"/>
  <c r="X16" i="80"/>
  <c r="X13" i="7"/>
  <c r="I13" i="7"/>
  <c r="F5" i="73"/>
  <c r="G7" i="73" s="1"/>
  <c r="G8" i="73" s="1"/>
  <c r="G12" i="73" s="1"/>
  <c r="G15" i="73" s="1"/>
  <c r="G23" i="73"/>
  <c r="G24" i="73" s="1"/>
  <c r="G28" i="73" s="1"/>
  <c r="G31" i="73" s="1"/>
  <c r="I29" i="80"/>
  <c r="X29" i="80" s="1"/>
  <c r="Y9" i="82"/>
  <c r="D59" i="73"/>
  <c r="D62" i="73" s="1"/>
  <c r="I6" i="80"/>
  <c r="I22" i="7"/>
  <c r="I20" i="82"/>
  <c r="F105" i="73"/>
  <c r="G107" i="73" s="1"/>
  <c r="G108" i="73" s="1"/>
  <c r="G112" i="73" s="1"/>
  <c r="G115" i="73" s="1"/>
  <c r="I16" i="7"/>
  <c r="K44" i="1"/>
  <c r="K46" i="1" s="1"/>
  <c r="H44" i="1"/>
  <c r="H46" i="1" s="1"/>
  <c r="D44" i="1"/>
  <c r="D46" i="1" s="1"/>
  <c r="I44" i="1"/>
  <c r="I46" i="1" s="1"/>
  <c r="K22" i="1"/>
  <c r="K25" i="1" s="1"/>
  <c r="Q16" i="1"/>
  <c r="E44" i="1"/>
  <c r="E46" i="1" s="1"/>
  <c r="J27" i="21"/>
  <c r="J28" i="21" s="1"/>
  <c r="I23" i="7"/>
  <c r="C19" i="81"/>
  <c r="G27" i="71"/>
  <c r="E21" i="2" s="1"/>
  <c r="C16" i="77"/>
  <c r="F33" i="7"/>
  <c r="C23" i="2"/>
  <c r="O44" i="1"/>
  <c r="Q10" i="1"/>
  <c r="C14" i="83" s="1"/>
  <c r="M44" i="1"/>
  <c r="Q38" i="1"/>
  <c r="G44" i="1"/>
  <c r="G46" i="1" s="1"/>
  <c r="D22" i="1"/>
  <c r="D25" i="1" s="1"/>
  <c r="H22" i="1"/>
  <c r="H27" i="1" s="1"/>
  <c r="G22" i="1"/>
  <c r="G24" i="1" s="1"/>
  <c r="L44" i="1"/>
  <c r="L46" i="1" s="1"/>
  <c r="C25" i="72"/>
  <c r="C22" i="1"/>
  <c r="C28" i="1" s="1"/>
  <c r="F22" i="1"/>
  <c r="E22" i="1"/>
  <c r="E24" i="1" s="1"/>
  <c r="L24" i="1"/>
  <c r="I22" i="1"/>
  <c r="I28" i="1" s="1"/>
  <c r="J24" i="1"/>
  <c r="L27" i="1"/>
  <c r="J28" i="1"/>
  <c r="J25" i="1"/>
  <c r="I29" i="7" l="1"/>
  <c r="D11" i="73"/>
  <c r="D14" i="73" s="1"/>
  <c r="X25" i="7"/>
  <c r="X27" i="7" s="1"/>
  <c r="E14" i="72" s="1"/>
  <c r="E19" i="72" s="1"/>
  <c r="F19" i="72" s="1"/>
  <c r="K27" i="1"/>
  <c r="E37" i="82"/>
  <c r="O20" i="1"/>
  <c r="O46" i="1" s="1"/>
  <c r="M20" i="1"/>
  <c r="M22" i="1" s="1"/>
  <c r="M28" i="1" s="1"/>
  <c r="C28" i="84"/>
  <c r="L25" i="1"/>
  <c r="L26" i="1" s="1"/>
  <c r="L30" i="1" s="1"/>
  <c r="G125" i="73"/>
  <c r="G126" i="73" s="1"/>
  <c r="G130" i="73" s="1"/>
  <c r="G133" i="73" s="1"/>
  <c r="K28" i="1"/>
  <c r="I30" i="82"/>
  <c r="H30" i="82" s="1"/>
  <c r="K24" i="1"/>
  <c r="K26" i="1" s="1"/>
  <c r="K30" i="1" s="1"/>
  <c r="X28" i="80"/>
  <c r="X30" i="80" s="1"/>
  <c r="Y30" i="80" s="1"/>
  <c r="Y28" i="82"/>
  <c r="Y30" i="82" s="1"/>
  <c r="Z30" i="82" s="1"/>
  <c r="I30" i="80"/>
  <c r="H30" i="80" s="1"/>
  <c r="G89" i="73"/>
  <c r="G90" i="73" s="1"/>
  <c r="G94" i="73" s="1"/>
  <c r="G97" i="73" s="1"/>
  <c r="C16" i="83"/>
  <c r="C26" i="83" s="1"/>
  <c r="E36" i="80"/>
  <c r="F14" i="21"/>
  <c r="F16" i="21" s="1"/>
  <c r="E19" i="2" s="1"/>
  <c r="H25" i="1"/>
  <c r="G25" i="1"/>
  <c r="G26" i="1" s="1"/>
  <c r="D24" i="1"/>
  <c r="D26" i="1" s="1"/>
  <c r="D28" i="1"/>
  <c r="D27" i="1"/>
  <c r="I27" i="7"/>
  <c r="H27" i="7" s="1"/>
  <c r="C12" i="72"/>
  <c r="F21" i="2"/>
  <c r="C12" i="81"/>
  <c r="H24" i="1"/>
  <c r="H28" i="1"/>
  <c r="I27" i="1"/>
  <c r="C27" i="1"/>
  <c r="C41" i="72"/>
  <c r="C42" i="72" s="1"/>
  <c r="G28" i="1"/>
  <c r="G27" i="1"/>
  <c r="C25" i="1"/>
  <c r="E25" i="1"/>
  <c r="E26" i="1" s="1"/>
  <c r="C24" i="1"/>
  <c r="I25" i="1"/>
  <c r="E27" i="1"/>
  <c r="F25" i="1"/>
  <c r="F27" i="1"/>
  <c r="E28" i="1"/>
  <c r="I24" i="1"/>
  <c r="F28" i="1"/>
  <c r="F24" i="1"/>
  <c r="J26" i="1"/>
  <c r="J30" i="1" s="1"/>
  <c r="M46" i="1" l="1"/>
  <c r="M25" i="1"/>
  <c r="M27" i="1"/>
  <c r="M24" i="1"/>
  <c r="O22" i="1"/>
  <c r="F14" i="72"/>
  <c r="Y27" i="7"/>
  <c r="C29" i="84"/>
  <c r="C13" i="84"/>
  <c r="D12" i="84"/>
  <c r="E14" i="81"/>
  <c r="E19" i="81" s="1"/>
  <c r="F19" i="81" s="1"/>
  <c r="M26" i="1"/>
  <c r="M30" i="1" s="1"/>
  <c r="F19" i="2"/>
  <c r="H26" i="1"/>
  <c r="H30" i="1" s="1"/>
  <c r="D30" i="1"/>
  <c r="H29" i="7"/>
  <c r="E16" i="83" s="1"/>
  <c r="C21" i="72"/>
  <c r="C21" i="81"/>
  <c r="I26" i="1"/>
  <c r="I30" i="1" s="1"/>
  <c r="G30" i="1"/>
  <c r="E30" i="1"/>
  <c r="F26" i="1"/>
  <c r="F30" i="1" s="1"/>
  <c r="C26" i="1"/>
  <c r="C30" i="1" s="1"/>
  <c r="O28" i="1" l="1"/>
  <c r="O27" i="1"/>
  <c r="O25" i="1"/>
  <c r="O24" i="1"/>
  <c r="O26" i="1" s="1"/>
  <c r="F14" i="81"/>
  <c r="E12" i="84"/>
  <c r="E28" i="84"/>
  <c r="D13" i="84"/>
  <c r="D28" i="84"/>
  <c r="D29" i="84" s="1"/>
  <c r="C27" i="81"/>
  <c r="D21" i="81" s="1"/>
  <c r="C27" i="72"/>
  <c r="O30" i="1" l="1"/>
  <c r="F28" i="84"/>
  <c r="E13" i="84"/>
  <c r="F11" i="84"/>
  <c r="D25" i="81"/>
  <c r="G25" i="81" s="1"/>
  <c r="D19" i="81"/>
  <c r="G19" i="81" s="1"/>
  <c r="D12" i="81"/>
  <c r="D23" i="81"/>
  <c r="G23" i="81" s="1"/>
  <c r="D17" i="81"/>
  <c r="G17" i="81" s="1"/>
  <c r="D14" i="81"/>
  <c r="G14" i="81" s="1"/>
  <c r="D25" i="72"/>
  <c r="G25" i="72" s="1"/>
  <c r="D23" i="72"/>
  <c r="G23" i="72" s="1"/>
  <c r="D14" i="72"/>
  <c r="G14" i="72" s="1"/>
  <c r="D21" i="72"/>
  <c r="D17" i="72"/>
  <c r="G17" i="72" s="1"/>
  <c r="D12" i="72"/>
  <c r="D19" i="72"/>
  <c r="G19" i="72" s="1"/>
  <c r="E29" i="84" l="1"/>
  <c r="F27" i="84"/>
  <c r="F13" i="84"/>
  <c r="D27" i="72"/>
  <c r="D27" i="81"/>
  <c r="Q40" i="1"/>
  <c r="N43" i="1"/>
  <c r="N44" i="1" s="1"/>
  <c r="N20" i="1" s="1"/>
  <c r="N22" i="1" l="1"/>
  <c r="N28" i="1" s="1"/>
  <c r="Q20" i="1"/>
  <c r="F29" i="84"/>
  <c r="D11" i="21" s="1"/>
  <c r="N46" i="1"/>
  <c r="Q44" i="1"/>
  <c r="Q43" i="1"/>
  <c r="C28" i="83" l="1"/>
  <c r="Q22" i="1"/>
  <c r="Q28" i="1" s="1"/>
  <c r="N25" i="1"/>
  <c r="N27" i="1"/>
  <c r="N24" i="1"/>
  <c r="E13" i="2"/>
  <c r="E11" i="21"/>
  <c r="E11" i="77" s="1"/>
  <c r="G11" i="77" s="1"/>
  <c r="D11" i="77" s="1"/>
  <c r="D16" i="21"/>
  <c r="E16" i="21" s="1"/>
  <c r="C30" i="83" l="1"/>
  <c r="D28" i="83" s="1"/>
  <c r="N26" i="1"/>
  <c r="N30" i="1" s="1"/>
  <c r="Q25" i="1"/>
  <c r="Q27" i="1"/>
  <c r="Q24" i="1"/>
  <c r="E13" i="76"/>
  <c r="G12" i="77"/>
  <c r="D12" i="77" s="1"/>
  <c r="E14" i="76" s="1"/>
  <c r="D14" i="76" s="1"/>
  <c r="D13" i="2"/>
  <c r="E17" i="2"/>
  <c r="Q26" i="1" l="1"/>
  <c r="Q30" i="1" s="1"/>
  <c r="F28" i="83"/>
  <c r="D30" i="83"/>
  <c r="D16" i="83"/>
  <c r="F16" i="83" s="1"/>
  <c r="F18" i="21"/>
  <c r="F20" i="21" s="1"/>
  <c r="F20" i="83" s="1"/>
  <c r="D14" i="83"/>
  <c r="I34" i="29"/>
  <c r="I36" i="29" s="1"/>
  <c r="F24" i="83" s="1"/>
  <c r="G33" i="71"/>
  <c r="G35" i="71" s="1"/>
  <c r="F22" i="83" s="1"/>
  <c r="D18" i="83"/>
  <c r="D26" i="83" s="1"/>
  <c r="D16" i="77"/>
  <c r="G16" i="77" s="1"/>
  <c r="I31" i="7"/>
  <c r="D17" i="2"/>
  <c r="F17" i="2"/>
  <c r="E23" i="2"/>
  <c r="D13" i="76"/>
  <c r="E17" i="76"/>
  <c r="E23" i="76" l="1"/>
  <c r="F23" i="76" s="1"/>
  <c r="E15" i="75" s="1"/>
  <c r="F15" i="75" s="1"/>
  <c r="F21" i="75" s="1"/>
  <c r="D17" i="76"/>
  <c r="E12" i="72"/>
  <c r="E12" i="81"/>
  <c r="F23" i="2"/>
  <c r="H31" i="7"/>
  <c r="E14" i="83" s="1"/>
  <c r="F14" i="83" s="1"/>
  <c r="F18" i="83" s="1"/>
  <c r="F26" i="83" s="1"/>
  <c r="F30" i="83" s="1"/>
  <c r="I33" i="7"/>
  <c r="H33" i="7" s="1"/>
  <c r="E18" i="83" s="1"/>
  <c r="E21" i="81" l="1"/>
  <c r="F21" i="81" s="1"/>
  <c r="G21" i="81" s="1"/>
  <c r="G27" i="81" s="1"/>
  <c r="F12" i="81"/>
  <c r="G12" i="81" s="1"/>
  <c r="E21" i="72"/>
  <c r="F21" i="72" s="1"/>
  <c r="G21" i="72" s="1"/>
  <c r="G27" i="72" s="1"/>
  <c r="F12" i="72"/>
  <c r="G12" i="7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Tsung-Hsing Shen</author>
  </authors>
  <commentList>
    <comment ref="M40" authorId="0" shapeId="0" xr:uid="{00000000-0006-0000-0200-000001000000}">
      <text>
        <r>
          <rPr>
            <b/>
            <sz val="9"/>
            <color indexed="81"/>
            <rFont val="Tahoma"/>
            <family val="2"/>
          </rPr>
          <t>Tsung-Hsing Shen:</t>
        </r>
        <r>
          <rPr>
            <sz val="9"/>
            <color indexed="81"/>
            <rFont val="Tahoma"/>
            <family val="2"/>
          </rPr>
          <t xml:space="preserve">
No OCI activities in the 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jsant</author>
    <author>Puget Sound Energy</author>
  </authors>
  <commentList>
    <comment ref="C9" authorId="0" shapeId="0" xr:uid="{00000000-0006-0000-0400-000001000000}">
      <text>
        <r>
          <rPr>
            <sz val="8"/>
            <color indexed="81"/>
            <rFont val="Tahoma"/>
            <family val="2"/>
          </rPr>
          <t xml:space="preserve">Based on daily balances outstanding
</t>
        </r>
      </text>
    </comment>
    <comment ref="F9" authorId="0" shapeId="0" xr:uid="{00000000-0006-0000-0400-000002000000}">
      <text>
        <r>
          <rPr>
            <sz val="8"/>
            <color indexed="81"/>
            <rFont val="Tahoma"/>
            <family val="2"/>
          </rPr>
          <t>Includes Credit Facility and Letter of Credit Fees.</t>
        </r>
        <r>
          <rPr>
            <sz val="8"/>
            <color indexed="81"/>
            <rFont val="Tahoma"/>
            <family val="2"/>
          </rPr>
          <t xml:space="preserve">
</t>
        </r>
      </text>
    </comment>
    <comment ref="C11" authorId="1" shapeId="0" xr:uid="{00000000-0006-0000-0400-000003000000}">
      <text>
        <r>
          <rPr>
            <b/>
            <sz val="9"/>
            <color indexed="81"/>
            <rFont val="Tahoma"/>
            <family val="2"/>
          </rPr>
          <t>Puget Sound Energy:</t>
        </r>
        <r>
          <rPr>
            <sz val="9"/>
            <color indexed="81"/>
            <rFont val="Tahoma"/>
            <family val="2"/>
          </rPr>
          <t xml:space="preserve">
Cost of Borrowing report</t>
        </r>
      </text>
    </comment>
    <comment ref="J31" authorId="1" shapeId="0" xr:uid="{00000000-0006-0000-0400-000004000000}">
      <text>
        <r>
          <rPr>
            <b/>
            <sz val="8"/>
            <color indexed="81"/>
            <rFont val="Tahoma"/>
            <family val="2"/>
          </rPr>
          <t>Puget Sound Energy:</t>
        </r>
        <r>
          <rPr>
            <sz val="8"/>
            <color indexed="81"/>
            <rFont val="Tahoma"/>
            <family val="2"/>
          </rPr>
          <t xml:space="preserve">
Added $15 monthly to cover cost of annual amendment fees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I32" authorId="0" shapeId="0" xr:uid="{00000000-0006-0000-0700-00000100000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Freh Dessalegn</author>
    <author>Cindy Song</author>
  </authors>
  <commentList>
    <comment ref="B8" authorId="0" shapeId="0" xr:uid="{00000000-0006-0000-0800-000001000000}">
      <text>
        <r>
          <rPr>
            <b/>
            <sz val="9"/>
            <color indexed="81"/>
            <rFont val="Tahoma"/>
            <family val="2"/>
          </rPr>
          <t>FP&amp;A 
MYP 11.05 
Summary B/S Tab</t>
        </r>
      </text>
    </comment>
    <comment ref="B16" authorId="1" shapeId="0" xr:uid="{00000000-0006-0000-0800-000002000000}">
      <text>
        <r>
          <rPr>
            <sz val="9"/>
            <color indexed="81"/>
            <rFont val="Tahoma"/>
            <family val="2"/>
          </rPr>
          <t xml:space="preserve">Moody's forecast as of 
LIBOR 8/10/2021
</t>
        </r>
      </text>
    </comment>
    <comment ref="B17" authorId="1" shapeId="0" xr:uid="{00000000-0006-0000-0800-000003000000}">
      <text>
        <r>
          <rPr>
            <sz val="9"/>
            <color indexed="81"/>
            <rFont val="Tahoma"/>
            <family val="2"/>
          </rPr>
          <t>Backed out from 1-month indicative CP quote received from Wells Fargo on August 10, 2021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0B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0B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0B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0B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0B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0B00-000006000000}">
      <text>
        <r>
          <rPr>
            <sz val="8"/>
            <color indexed="81"/>
            <rFont val="Tahoma"/>
            <family val="2"/>
          </rPr>
          <t xml:space="preserve">Check the detail behind the total long term debt to ensure it is properly pulling from other work.
</t>
        </r>
      </text>
    </comment>
    <comment ref="B25" authorId="0" shapeId="0" xr:uid="{00000000-0006-0000-0B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E15" authorId="0" shapeId="0" xr:uid="{00000000-0006-0000-0E00-000001000000}">
      <text>
        <r>
          <rPr>
            <sz val="8"/>
            <color indexed="81"/>
            <rFont val="Tahoma"/>
            <family val="2"/>
          </rPr>
          <t>Short-term cost priced as if under Pre-Merger facilities.</t>
        </r>
        <r>
          <rPr>
            <sz val="8"/>
            <color indexed="81"/>
            <rFont val="Tahoma"/>
            <family val="2"/>
          </rPr>
          <t xml:space="preserve">
</t>
        </r>
      </text>
    </comment>
    <comment ref="E17" authorId="0" shapeId="0" xr:uid="{00000000-0006-0000-0E00-00000200000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jsant</author>
    <author>Jim Sant</author>
  </authors>
  <commentList>
    <comment ref="C10" authorId="0" shapeId="0" xr:uid="{00000000-0006-0000-1000-000001000000}">
      <text>
        <r>
          <rPr>
            <sz val="8"/>
            <color indexed="81"/>
            <rFont val="Tahoma"/>
            <family val="2"/>
          </rPr>
          <t xml:space="preserve">Based on daily balances outstanding
</t>
        </r>
      </text>
    </comment>
    <comment ref="H10" authorId="0" shapeId="0" xr:uid="{00000000-0006-0000-1000-000002000000}">
      <text>
        <r>
          <rPr>
            <sz val="8"/>
            <color indexed="81"/>
            <rFont val="Tahoma"/>
            <family val="2"/>
          </rPr>
          <t>Includes Credit Facility and Letter of Credit Fees.</t>
        </r>
        <r>
          <rPr>
            <sz val="8"/>
            <color indexed="81"/>
            <rFont val="Tahoma"/>
            <family val="2"/>
          </rPr>
          <t xml:space="preserve">
</t>
        </r>
      </text>
    </comment>
    <comment ref="F11" authorId="0" shapeId="0" xr:uid="{00000000-0006-0000-1000-000003000000}">
      <text>
        <r>
          <rPr>
            <sz val="8"/>
            <color indexed="81"/>
            <rFont val="Tahoma"/>
            <family val="2"/>
          </rPr>
          <t>CP cost would be what the market would bear under pre or post-merger scenario. No adjustment need be made.</t>
        </r>
      </text>
    </comment>
    <comment ref="G12" authorId="1" shapeId="0" xr:uid="{00000000-0006-0000-1000-000004000000}">
      <text>
        <r>
          <rPr>
            <sz val="8"/>
            <color indexed="81"/>
            <rFont val="Tahoma"/>
            <family val="2"/>
          </rPr>
          <t>Different Formula: 
Assumes takes on weighted average of the other borrowings on which its rate is based.</t>
        </r>
      </text>
    </comment>
    <comment ref="G23" authorId="0" shapeId="0" xr:uid="{00000000-0006-0000-1000-00000500000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xr:uid="{00000000-0006-0000-1000-00000600000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xr:uid="{00000000-0006-0000-1000-00000700000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12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12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12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12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12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1200-000006000000}">
      <text>
        <r>
          <rPr>
            <sz val="8"/>
            <color indexed="81"/>
            <rFont val="Tahoma"/>
            <family val="2"/>
          </rPr>
          <t xml:space="preserve">Check the detail behind the total long term debt to ensure it is properly pulling from other work.
</t>
        </r>
      </text>
    </comment>
    <comment ref="B25" authorId="0" shapeId="0" xr:uid="{00000000-0006-0000-12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<sst xmlns="http://schemas.openxmlformats.org/spreadsheetml/2006/main" count="905" uniqueCount="343">
  <si>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</si>
  <si>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</si>
  <si>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</si>
  <si>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</si>
  <si>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</si>
  <si>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</si>
  <si>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</si>
  <si>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</si>
  <si>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</si>
  <si>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</si>
  <si>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</si>
  <si>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</si>
  <si>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</si>
  <si>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</si>
  <si>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</si>
  <si>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</si>
  <si>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</si>
  <si>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</si>
  <si>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</si>
  <si>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</si>
  <si>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</si>
  <si>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</si>
  <si>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</si>
  <si>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</si>
  <si>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</si>
  <si>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</si>
  <si>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</si>
  <si>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</si>
  <si>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</si>
  <si>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</si>
  <si>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</si>
  <si>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</si>
  <si>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</si>
  <si>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</si>
  <si>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</si>
  <si>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</si>
  <si>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</si>
  <si>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</si>
  <si>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</si>
  <si>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</si>
  <si>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</si>
  <si>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</si>
  <si>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</si>
  <si>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</si>
  <si>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</si>
  <si>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</si>
  <si>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</si>
  <si>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</si>
  <si>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</si>
  <si>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</si>
  <si>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</si>
  <si>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</si>
  <si>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</si>
  <si>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</si>
  <si>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</si>
  <si>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</si>
  <si>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</si>
  <si>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</si>
  <si>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</si>
  <si>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</si>
  <si>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</si>
  <si>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</si>
  <si>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</si>
  <si>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</si>
  <si>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</si>
  <si>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</si>
  <si>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</si>
  <si>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</si>
  <si>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</si>
  <si>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</si>
  <si>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</si>
  <si>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</si>
  <si>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</si>
  <si>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</si>
  <si>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</si>
  <si>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</si>
  <si>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</si>
  <si>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</si>
  <si>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</si>
  <si>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</si>
  <si>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</si>
  <si>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</si>
  <si>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</si>
  <si>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</si>
  <si>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</si>
  <si>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</si>
  <si>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</si>
  <si>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</si>
  <si>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</si>
  <si>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</si>
  <si>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</si>
  <si>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</si>
  <si>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</si>
  <si>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</si>
  <si>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</si>
  <si>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</si>
  <si>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</si>
  <si>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</si>
  <si>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</si>
  <si>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</si>
  <si>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</si>
  <si>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</si>
  <si>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</si>
  <si>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</si>
  <si>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</si>
  <si>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</si>
  <si>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</si>
  <si>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</si>
  <si>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</si>
  <si>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</si>
  <si>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</si>
  <si>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</si>
  <si>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</si>
  <si>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</si>
  <si>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</si>
  <si>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</si>
  <si>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</si>
  <si>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</si>
  <si>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</si>
  <si>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</si>
  <si>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</si>
  <si>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</si>
  <si>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</si>
  <si>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</si>
  <si>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</si>
  <si>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</si>
  <si>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</si>
  <si>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</si>
  <si>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</si>
  <si>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</si>
  <si>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</si>
  <si>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</si>
  <si>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</si>
  <si>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</si>
  <si>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</si>
  <si>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</si>
  <si>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</si>
  <si>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</si>
  <si>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</si>
  <si>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</si>
  <si>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</si>
  <si>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</si>
  <si>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</si>
  <si>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</si>
  <si>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</si>
  <si>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</si>
  <si>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</si>
  <si>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</si>
  <si>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</si>
  <si>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</si>
  <si>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</si>
  <si>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</si>
  <si>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</si>
  <si>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</si>
  <si>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</si>
  <si>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</si>
  <si>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</si>
  <si>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</si>
  <si>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</si>
  <si>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</si>
  <si>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</si>
  <si>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</si>
  <si>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</si>
  <si>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</si>
  <si>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</si>
  <si>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</si>
  <si>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</si>
  <si>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</si>
  <si>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</si>
  <si>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</si>
  <si>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</si>
  <si>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</si>
  <si>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</si>
  <si>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</si>
  <si>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</si>
  <si>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</si>
  <si>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</si>
  <si>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</si>
  <si>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</si>
  <si>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</si>
  <si>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</si>
  <si>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</si>
  <si>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</si>
  <si>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</si>
  <si>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</si>
  <si>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</si>
  <si>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</si>
  <si>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</si>
  <si>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</si>
  <si>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</si>
  <si>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</si>
  <si>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</si>
  <si>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</si>
  <si>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</si>
  <si>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</si>
  <si>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</si>
  <si>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</si>
  <si>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</si>
  <si>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</si>
  <si>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</si>
  <si>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</si>
  <si>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</si>
  <si>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</si>
  <si>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</si>
  <si>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</si>
  <si>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</si>
  <si>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</si>
  <si>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</si>
  <si>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</si>
  <si>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</si>
  <si>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</si>
  <si>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</si>
  <si>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</si>
  <si>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</si>
  <si>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</si>
  <si>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</si>
  <si>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</si>
  <si>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</si>
  <si>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</si>
  <si>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</si>
  <si>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</si>
  <si>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</si>
  <si>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</si>
  <si>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</si>
  <si>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</si>
  <si>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</si>
  <si>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</si>
  <si>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</si>
  <si>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</si>
  <si>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</si>
  <si>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</si>
  <si>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</si>
  <si>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</si>
  <si>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</si>
  <si>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</si>
  <si>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</si>
  <si>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</si>
  <si>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</si>
  <si>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</si>
  <si>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</si>
  <si>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</si>
  <si>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</si>
  <si>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</si>
  <si>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</si>
  <si>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</si>
  <si>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</si>
  <si>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</si>
  <si>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</si>
  <si>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</si>
  <si>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</si>
  <si>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</si>
  <si>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</si>
  <si>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</si>
  <si>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</si>
  <si>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</si>
  <si>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</si>
  <si>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</si>
  <si>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</si>
  <si>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</si>
  <si>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</si>
  <si>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</si>
  <si>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</si>
  <si>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</si>
  <si>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</si>
  <si>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</si>
  <si>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</si>
  <si>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</si>
  <si>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</si>
  <si>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</si>
  <si>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</si>
  <si>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</si>
  <si>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</si>
  <si>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</si>
  <si>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</si>
  <si>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</si>
  <si>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</si>
  <si>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</si>
  <si>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</si>
  <si>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</si>
  <si>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</si>
  <si>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</si>
  <si>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</si>
  <si>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</si>
  <si>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</si>
  <si>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</si>
  <si>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</si>
  <si>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</si>
  <si>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</si>
  <si>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</si>
  <si>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</si>
  <si>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</si>
  <si>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</si>
  <si>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</si>
  <si>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</si>
  <si>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</si>
  <si>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</si>
  <si>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</si>
  <si>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</si>
  <si>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</si>
  <si>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</si>
  <si>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</si>
  <si>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</si>
  <si>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</si>
  <si>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</si>
  <si>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</si>
  <si>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</si>
  <si>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</si>
  <si>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</si>
  <si>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</si>
  <si>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</si>
  <si>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</si>
  <si>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</si>
  <si>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$800 million</t>
  </si>
  <si>
    <t>$800mm Liquidity  Facility</t>
  </si>
  <si>
    <t>Variance</t>
  </si>
  <si>
    <t>Total Amortization for 12 months ended 9/30/21</t>
  </si>
  <si>
    <t>For The 12 Months Ending December 31, 2021</t>
  </si>
  <si>
    <t>December 31, 2020 Through December 31, 2021</t>
  </si>
  <si>
    <t>As of: 12/31/20</t>
  </si>
  <si>
    <t>TOTAL LONG TERM DEBT COST</t>
  </si>
  <si>
    <t>Puget Sound Energy</t>
  </si>
  <si>
    <t>Average</t>
  </si>
  <si>
    <t>Short Term Debt Average Balance (in 000's)</t>
  </si>
  <si>
    <t>Borrowings (000's):</t>
  </si>
  <si>
    <t>Commercial Paper (CP)</t>
  </si>
  <si>
    <t>Credit Facilities</t>
  </si>
  <si>
    <t>Total Short-term Debt</t>
  </si>
  <si>
    <t>Interest Rate Components:</t>
  </si>
  <si>
    <r>
      <t xml:space="preserve">Projected </t>
    </r>
    <r>
      <rPr>
        <sz val="8"/>
        <color indexed="8"/>
        <rFont val="Times New Roman"/>
        <family val="1"/>
      </rPr>
      <t>LIBOR Rates (1 mo)</t>
    </r>
  </si>
  <si>
    <t>Est'd CP Spread</t>
  </si>
  <si>
    <t>Credit Facilities Margin</t>
  </si>
  <si>
    <t>Annual Interest Rates:</t>
  </si>
  <si>
    <t>CP</t>
  </si>
  <si>
    <t>Number of Days in Month</t>
  </si>
  <si>
    <t>Interest Expense (i):</t>
  </si>
  <si>
    <t>CP Interest</t>
  </si>
  <si>
    <t>Credit Facilities Interest</t>
  </si>
  <si>
    <t>Total Interest</t>
  </si>
  <si>
    <r>
      <t xml:space="preserve">(i) </t>
    </r>
    <r>
      <rPr>
        <sz val="8"/>
        <rFont val="Times New Roman"/>
        <family val="1"/>
      </rPr>
      <t>Monthly short-term interest is calculated on the average balance for the month times the interest rate for the month times the actual days in the month divided by 360 days.</t>
    </r>
  </si>
  <si>
    <t>Short Term Debt Interest Forecasts</t>
  </si>
  <si>
    <t>Q4 2021</t>
  </si>
  <si>
    <r>
      <t>(i)</t>
    </r>
    <r>
      <rPr>
        <sz val="9"/>
        <rFont val="Arial"/>
        <family val="2"/>
      </rPr>
      <t xml:space="preserve"> - Average of Month-End Balances; Actuals through September 30 plus three months forecast</t>
    </r>
  </si>
  <si>
    <t>Revised figures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</si>
</sst>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 numFmtId="190" formatCode="[$-409]mmm\-yy;@"/>
  </numFmts>
  <fonts count="100">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8"/>
      <color indexed="81"/>
      <name val="Tahoma"/>
      <family val="2"/>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
      <b/>
      <sz val="8"/>
      <name val="Times New Roman"/>
      <family val="1"/>
    </font>
    <font>
      <u/>
      <sz val="8"/>
      <name val="Times New Roman"/>
      <family val="1"/>
    </font>
    <font>
      <b/>
      <sz val="8"/>
      <color indexed="8"/>
      <name val="Times New Roman"/>
      <family val="1"/>
    </font>
    <font>
      <sz val="8"/>
      <color rgb="FF0000FF"/>
      <name val="Times New Roman"/>
      <family val="1"/>
    </font>
    <font>
      <sz val="9"/>
      <color rgb="FFFF0000"/>
      <name val="Times New Roman"/>
      <family val="1"/>
    </font>
    <font>
      <b/>
      <sz val="9"/>
      <color indexed="10"/>
      <name val="Times New Roman"/>
      <family val="1"/>
    </font>
    <font>
      <b/>
      <u/>
      <sz val="8"/>
      <name val="Times New Roman"/>
      <family val="1"/>
    </font>
    <font>
      <b/>
      <sz val="12"/>
      <color indexed="8"/>
      <name val="Times New Roman"/>
      <family val="1"/>
    </font>
    <font>
      <sz val="9"/>
      <color indexed="10"/>
      <name val="Times New Roman"/>
      <family val="1"/>
    </font>
    <font>
      <sz val="8"/>
      <color rgb="FFFF0000"/>
      <name val="Arial"/>
      <family val="2"/>
    </font>
    <font>
      <b/>
      <sz val="8"/>
      <color rgb="FFFF0000"/>
      <name val="Arial"/>
      <family val="2"/>
    </font>
    <font>
      <sz val="11"/>
      <color rgb="FFFF0000"/>
      <name val="Calibri"/>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7">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686">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3" fillId="0" borderId="0" xfId="91" applyFont="1"/>
    <xf numFmtId="37" fontId="15" fillId="0" borderId="0" xfId="91" applyFont="1"/>
    <xf numFmtId="37" fontId="15" fillId="0" borderId="0" xfId="91" applyFont="1" applyAlignment="1" applyProtection="1">
      <alignment horizontal="center"/>
    </xf>
    <xf numFmtId="37" fontId="27" fillId="0" borderId="0" xfId="91" applyFont="1" applyAlignment="1" applyProtection="1">
      <alignment horizontal="center"/>
    </xf>
    <xf numFmtId="37" fontId="13" fillId="0" borderId="0" xfId="91" applyFont="1" applyAlignment="1" applyProtection="1">
      <alignment horizontal="left"/>
    </xf>
    <xf numFmtId="37" fontId="13" fillId="0" borderId="0" xfId="91" applyFont="1" applyAlignment="1" applyProtection="1">
      <alignment horizontal="fill"/>
    </xf>
    <xf numFmtId="37" fontId="13" fillId="0" borderId="0" xfId="91" applyFont="1" applyAlignment="1" applyProtection="1">
      <alignment horizontal="center"/>
    </xf>
    <xf numFmtId="10" fontId="13" fillId="0" borderId="0" xfId="91" applyNumberFormat="1" applyFont="1" applyProtection="1"/>
    <xf numFmtId="37" fontId="13" fillId="0" borderId="0" xfId="91" applyNumberFormat="1" applyFont="1" applyProtection="1"/>
    <xf numFmtId="5" fontId="13" fillId="0" borderId="0" xfId="91" applyNumberFormat="1" applyFont="1" applyProtection="1"/>
    <xf numFmtId="5" fontId="13" fillId="0" borderId="0" xfId="91" applyNumberFormat="1" applyFont="1"/>
    <xf numFmtId="5" fontId="29" fillId="0" borderId="0" xfId="91" applyNumberFormat="1" applyFont="1"/>
    <xf numFmtId="5" fontId="29"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30" fillId="0" borderId="0" xfId="91" applyNumberFormat="1" applyFont="1" applyFill="1" applyProtection="1"/>
    <xf numFmtId="5" fontId="30" fillId="0" borderId="0" xfId="91" applyNumberFormat="1" applyFont="1" applyProtection="1"/>
    <xf numFmtId="5" fontId="30" fillId="0" borderId="0" xfId="91" applyNumberFormat="1" applyFont="1"/>
    <xf numFmtId="170" fontId="30" fillId="0" borderId="0" xfId="55" applyNumberFormat="1" applyFont="1"/>
    <xf numFmtId="5" fontId="31" fillId="0" borderId="0" xfId="91" applyNumberFormat="1" applyFont="1"/>
    <xf numFmtId="5" fontId="31"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9" fillId="0" borderId="0" xfId="88" applyFont="1" applyAlignment="1" applyProtection="1">
      <alignment horizontal="center" wrapText="1"/>
    </xf>
    <xf numFmtId="0" fontId="18" fillId="0" borderId="0" xfId="88" applyFont="1" applyAlignment="1">
      <alignment horizontal="centerContinuous"/>
    </xf>
    <xf numFmtId="10" fontId="15" fillId="0" borderId="0" xfId="95" applyFont="1" applyAlignment="1">
      <alignment horizontal="centerContinuous"/>
    </xf>
    <xf numFmtId="10" fontId="13" fillId="0" borderId="0" xfId="95" applyFont="1"/>
    <xf numFmtId="10" fontId="13" fillId="0" borderId="0" xfId="95" applyFont="1" applyAlignment="1">
      <alignment horizontal="center"/>
    </xf>
    <xf numFmtId="10" fontId="15" fillId="0" borderId="0" xfId="95" applyFont="1" applyAlignment="1">
      <alignment horizontal="center"/>
    </xf>
    <xf numFmtId="10" fontId="15" fillId="0" borderId="0" xfId="95" applyFont="1" applyAlignment="1" applyProtection="1">
      <alignment horizontal="center"/>
    </xf>
    <xf numFmtId="10" fontId="27" fillId="0" borderId="0" xfId="95" applyFont="1" applyAlignment="1" applyProtection="1">
      <alignment horizontal="center"/>
    </xf>
    <xf numFmtId="10" fontId="13" fillId="0" borderId="0" xfId="95" applyFont="1" applyAlignment="1" applyProtection="1">
      <alignment horizontal="left"/>
    </xf>
    <xf numFmtId="10" fontId="15" fillId="0" borderId="0" xfId="95" applyFont="1" applyAlignment="1" applyProtection="1">
      <alignment horizontal="left"/>
    </xf>
    <xf numFmtId="10" fontId="15" fillId="0" borderId="0" xfId="95" applyFont="1"/>
    <xf numFmtId="10" fontId="13" fillId="0" borderId="0" xfId="95" applyFont="1" applyBorder="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3" fillId="0" borderId="0" xfId="96" applyNumberFormat="1" applyFont="1" applyBorder="1" applyAlignment="1">
      <alignment horizontal="left"/>
    </xf>
    <xf numFmtId="0" fontId="22" fillId="0" borderId="0" xfId="96" applyFont="1"/>
    <xf numFmtId="0" fontId="33" fillId="0" borderId="0" xfId="96"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6" fillId="0" borderId="0" xfId="91" applyFont="1" applyAlignment="1" applyProtection="1">
      <alignment horizontal="left"/>
    </xf>
    <xf numFmtId="37" fontId="25" fillId="0" borderId="0" xfId="92" applyNumberFormat="1" applyFont="1" applyAlignment="1">
      <alignment horizontal="center"/>
    </xf>
    <xf numFmtId="37" fontId="37"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38" fontId="13" fillId="0" borderId="0" xfId="95"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5" applyFont="1" applyAlignment="1" applyProtection="1"/>
    <xf numFmtId="5" fontId="13" fillId="0" borderId="0" xfId="95" applyNumberFormat="1" applyFont="1" applyAlignment="1" applyProtection="1"/>
    <xf numFmtId="10" fontId="13" fillId="0" borderId="0" xfId="95" applyFont="1" applyBorder="1" applyAlignment="1" applyProtection="1"/>
    <xf numFmtId="5" fontId="13" fillId="0" borderId="0" xfId="95" applyNumberFormat="1" applyFont="1" applyAlignment="1"/>
    <xf numFmtId="10" fontId="13" fillId="0" borderId="0" xfId="95" applyFont="1" applyAlignment="1"/>
    <xf numFmtId="5" fontId="29" fillId="0" borderId="0" xfId="95" applyNumberFormat="1" applyFont="1" applyBorder="1" applyAlignment="1" applyProtection="1"/>
    <xf numFmtId="165" fontId="13" fillId="0" borderId="0" xfId="95" applyNumberFormat="1" applyFont="1" applyBorder="1" applyAlignment="1" applyProtection="1"/>
    <xf numFmtId="10" fontId="13" fillId="0" borderId="0" xfId="95" applyFont="1" applyBorder="1" applyAlignment="1"/>
    <xf numFmtId="5" fontId="36" fillId="0" borderId="0" xfId="95" applyNumberFormat="1" applyFont="1" applyBorder="1" applyAlignment="1" applyProtection="1"/>
    <xf numFmtId="10" fontId="36" fillId="0" borderId="0" xfId="95" applyFont="1" applyBorder="1" applyAlignment="1"/>
    <xf numFmtId="5" fontId="34" fillId="0" borderId="0" xfId="88" applyNumberFormat="1" applyFont="1" applyFill="1" applyProtection="1"/>
    <xf numFmtId="37" fontId="25" fillId="0" borderId="0" xfId="92" applyNumberFormat="1" applyFont="1" applyAlignment="1">
      <alignment horizontal="right"/>
    </xf>
    <xf numFmtId="37" fontId="39" fillId="0" borderId="0" xfId="91" applyFont="1" applyAlignment="1" applyProtection="1">
      <alignment horizontal="center"/>
    </xf>
    <xf numFmtId="37" fontId="34" fillId="0" borderId="0" xfId="88" applyNumberFormat="1" applyFont="1" applyFill="1" applyProtection="1"/>
    <xf numFmtId="10" fontId="13" fillId="0" borderId="0" xfId="95"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5" fontId="13" fillId="0" borderId="0" xfId="95" applyNumberFormat="1" applyFont="1"/>
    <xf numFmtId="10" fontId="5" fillId="0" borderId="0" xfId="95" applyFont="1" applyBorder="1"/>
    <xf numFmtId="1" fontId="16" fillId="0" borderId="0" xfId="95"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4"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1" applyNumberFormat="1" applyFont="1" applyProtection="1"/>
    <xf numFmtId="168" fontId="30"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8"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8" fillId="0" borderId="0" xfId="96" applyFont="1"/>
    <xf numFmtId="0" fontId="9" fillId="0" borderId="0" xfId="88" applyFont="1" applyFill="1" applyBorder="1"/>
    <xf numFmtId="37" fontId="9" fillId="0" borderId="0" xfId="88" applyNumberFormat="1" applyFont="1" applyFill="1" applyBorder="1"/>
    <xf numFmtId="10" fontId="36"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6" fillId="0" borderId="0" xfId="95" applyNumberFormat="1" applyFont="1" applyFill="1" applyBorder="1" applyAlignment="1" applyProtection="1"/>
    <xf numFmtId="10" fontId="24" fillId="0" borderId="0" xfId="92"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5" fillId="0" borderId="0" xfId="95" applyFont="1" applyBorder="1"/>
    <xf numFmtId="37" fontId="5" fillId="0" borderId="0" xfId="95" applyNumberFormat="1" applyFont="1" applyBorder="1"/>
    <xf numFmtId="182" fontId="28" fillId="0" borderId="0" xfId="95" applyNumberFormat="1" applyFont="1" applyBorder="1" applyAlignment="1">
      <alignment horizontal="center"/>
    </xf>
    <xf numFmtId="37" fontId="13" fillId="0" borderId="0" xfId="95" applyNumberFormat="1" applyFont="1" applyBorder="1" applyAlignment="1">
      <alignment horizontal="center"/>
    </xf>
    <xf numFmtId="10" fontId="28" fillId="0" borderId="0" xfId="95" applyFont="1" applyBorder="1" applyAlignment="1" applyProtection="1"/>
    <xf numFmtId="10" fontId="13" fillId="0" borderId="0" xfId="95" applyNumberFormat="1" applyFont="1" applyBorder="1" applyAlignment="1" applyProtection="1"/>
    <xf numFmtId="181" fontId="41"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183" fontId="34" fillId="0" borderId="0" xfId="88" applyNumberFormat="1" applyFont="1" applyFill="1" applyProtection="1"/>
    <xf numFmtId="5" fontId="37"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2" applyNumberFormat="1" applyFont="1"/>
    <xf numFmtId="37" fontId="47" fillId="0" borderId="0" xfId="92" applyNumberFormat="1" applyFont="1" applyAlignment="1">
      <alignment horizontal="right"/>
    </xf>
    <xf numFmtId="175" fontId="47" fillId="0" borderId="0" xfId="88" applyNumberFormat="1" applyFont="1" applyFill="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174" fontId="26" fillId="0" borderId="0" xfId="96" applyNumberFormat="1" applyFont="1" applyFill="1"/>
    <xf numFmtId="5" fontId="18" fillId="0" borderId="25" xfId="96"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0" fontId="34" fillId="0" borderId="0" xfId="88" applyFont="1" applyFill="1"/>
    <xf numFmtId="37" fontId="24" fillId="0" borderId="0" xfId="91"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1" applyFont="1" applyAlignment="1">
      <alignment horizontal="left" indent="1"/>
    </xf>
    <xf numFmtId="5" fontId="13" fillId="0" borderId="26" xfId="91" applyNumberFormat="1" applyFont="1" applyBorder="1" applyProtection="1"/>
    <xf numFmtId="5" fontId="30" fillId="0" borderId="26" xfId="91" applyNumberFormat="1" applyFont="1" applyBorder="1"/>
    <xf numFmtId="168" fontId="30"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5" applyNumberFormat="1" applyFont="1" applyFill="1" applyAlignment="1" applyProtection="1"/>
    <xf numFmtId="10" fontId="34" fillId="0" borderId="0" xfId="102" applyNumberFormat="1" applyFont="1" applyFill="1" applyBorder="1" applyProtection="1"/>
    <xf numFmtId="10" fontId="34" fillId="0" borderId="10" xfId="88" applyNumberFormat="1" applyFont="1" applyFill="1" applyBorder="1" applyProtection="1"/>
    <xf numFmtId="184"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5" applyFont="1" applyBorder="1" applyAlignment="1" applyProtection="1">
      <alignment horizontal="centerContinuous" vertical="center" wrapText="1"/>
    </xf>
    <xf numFmtId="172" fontId="32" fillId="0" borderId="0" xfId="95"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1" applyNumberFormat="1" applyFont="1" applyFill="1" applyProtection="1"/>
    <xf numFmtId="10" fontId="13" fillId="0" borderId="0" xfId="95" applyFont="1" applyFill="1" applyAlignment="1" applyProtection="1"/>
    <xf numFmtId="37" fontId="15" fillId="0" borderId="0" xfId="91"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5" applyNumberFormat="1" applyFont="1" applyAlignment="1"/>
    <xf numFmtId="10" fontId="29"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2" applyNumberFormat="1" applyFont="1" applyFill="1" applyBorder="1"/>
    <xf numFmtId="168" fontId="16" fillId="0" borderId="0" xfId="102"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18" fillId="0" borderId="12" xfId="0" applyFont="1" applyFill="1" applyBorder="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1" fontId="46" fillId="0" borderId="0" xfId="0" applyNumberFormat="1" applyFont="1" applyFill="1" applyBorder="1" applyAlignment="1">
      <alignment horizontal="center"/>
    </xf>
    <xf numFmtId="0" fontId="32" fillId="0" borderId="0" xfId="88" applyFont="1" applyAlignment="1" applyProtection="1">
      <alignment horizontal="centerContinuous"/>
    </xf>
    <xf numFmtId="1" fontId="51"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51" fillId="0" borderId="0" xfId="95" applyFont="1" applyAlignment="1">
      <alignment horizontal="centerContinuous"/>
    </xf>
    <xf numFmtId="0" fontId="50" fillId="0" borderId="0" xfId="90" applyAlignment="1">
      <alignment horizontal="centerContinuous"/>
    </xf>
    <xf numFmtId="10" fontId="4" fillId="0" borderId="0" xfId="95" applyAlignment="1" applyProtection="1">
      <alignment horizontal="left"/>
    </xf>
    <xf numFmtId="172" fontId="41" fillId="0" borderId="0" xfId="95" applyNumberFormat="1" applyFont="1" applyBorder="1" applyAlignment="1" applyProtection="1">
      <alignment horizontal="centerContinuous" vertical="center" wrapText="1"/>
    </xf>
    <xf numFmtId="10" fontId="51" fillId="0" borderId="0" xfId="95" applyFont="1" applyBorder="1" applyAlignment="1">
      <alignment horizontal="centerContinuous" vertical="center" wrapText="1"/>
    </xf>
    <xf numFmtId="1" fontId="51" fillId="0" borderId="0" xfId="95" applyNumberFormat="1" applyFont="1" applyProtection="1"/>
    <xf numFmtId="10" fontId="51" fillId="0" borderId="0" xfId="95" applyFont="1"/>
    <xf numFmtId="0" fontId="50" fillId="0" borderId="0" xfId="90"/>
    <xf numFmtId="10" fontId="51"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3" fillId="0" borderId="0" xfId="95" applyFont="1" applyAlignment="1" applyProtection="1">
      <alignment horizontal="right"/>
    </xf>
    <xf numFmtId="10" fontId="15" fillId="0" borderId="0" xfId="95" applyFont="1" applyFill="1" applyAlignment="1" applyProtection="1">
      <alignment horizontal="left" indent="1"/>
    </xf>
    <xf numFmtId="5" fontId="30" fillId="0" borderId="0" xfId="95" applyNumberFormat="1" applyFont="1" applyProtection="1"/>
    <xf numFmtId="165" fontId="30" fillId="0" borderId="0" xfId="95" applyNumberFormat="1" applyFont="1" applyProtection="1"/>
    <xf numFmtId="5" fontId="30" fillId="0" borderId="0" xfId="95" applyNumberFormat="1" applyFont="1" applyAlignment="1" applyProtection="1">
      <alignment horizontal="right"/>
    </xf>
    <xf numFmtId="10" fontId="30" fillId="0" borderId="0" xfId="95" applyFont="1" applyBorder="1" applyProtection="1"/>
    <xf numFmtId="10" fontId="30" fillId="0" borderId="0" xfId="95" applyFont="1" applyProtection="1"/>
    <xf numFmtId="10" fontId="25" fillId="0" borderId="0" xfId="95" applyFont="1" applyFill="1" applyAlignment="1" applyProtection="1">
      <alignment horizontal="left" indent="2"/>
    </xf>
    <xf numFmtId="5" fontId="34" fillId="0" borderId="0" xfId="95" applyNumberFormat="1" applyFont="1" applyProtection="1"/>
    <xf numFmtId="165" fontId="34" fillId="0" borderId="0" xfId="95" applyNumberFormat="1" applyFont="1" applyProtection="1"/>
    <xf numFmtId="5" fontId="34" fillId="0" borderId="0" xfId="95" applyNumberFormat="1" applyFont="1" applyAlignment="1" applyProtection="1">
      <alignment horizontal="right"/>
    </xf>
    <xf numFmtId="10" fontId="34" fillId="0" borderId="0" xfId="95" applyFont="1" applyBorder="1" applyProtection="1"/>
    <xf numFmtId="10" fontId="34" fillId="0" borderId="0" xfId="95" applyFont="1" applyProtection="1"/>
    <xf numFmtId="43" fontId="43" fillId="0" borderId="0" xfId="95" applyNumberFormat="1" applyFont="1" applyProtection="1"/>
    <xf numFmtId="5" fontId="43" fillId="0" borderId="0" xfId="95" applyNumberFormat="1" applyFont="1" applyAlignment="1" applyProtection="1">
      <alignment horizontal="right"/>
    </xf>
    <xf numFmtId="10" fontId="13" fillId="0" borderId="0" xfId="95" applyFont="1" applyAlignment="1" applyProtection="1">
      <alignment horizontal="left" indent="1"/>
    </xf>
    <xf numFmtId="10" fontId="15" fillId="0" borderId="0" xfId="95" applyFont="1" applyAlignment="1" applyProtection="1">
      <alignment horizontal="left" indent="1"/>
    </xf>
    <xf numFmtId="10" fontId="30" fillId="0" borderId="0" xfId="95" applyNumberFormat="1" applyFont="1" applyFill="1" applyBorder="1" applyProtection="1"/>
    <xf numFmtId="10" fontId="30" fillId="0" borderId="0" xfId="95" applyFont="1" applyAlignment="1" applyProtection="1">
      <alignment horizontal="left"/>
    </xf>
    <xf numFmtId="5" fontId="30" fillId="19" borderId="12" xfId="95" applyNumberFormat="1" applyFont="1" applyFill="1" applyBorder="1" applyProtection="1"/>
    <xf numFmtId="165" fontId="30" fillId="0" borderId="12" xfId="95" applyNumberFormat="1" applyFont="1" applyBorder="1" applyProtection="1"/>
    <xf numFmtId="5" fontId="30" fillId="0" borderId="12" xfId="95" applyNumberFormat="1" applyFont="1" applyBorder="1" applyProtection="1"/>
    <xf numFmtId="10" fontId="30" fillId="19" borderId="12" xfId="95" applyFont="1" applyFill="1" applyBorder="1" applyProtection="1"/>
    <xf numFmtId="10" fontId="30" fillId="0" borderId="12" xfId="95" applyFont="1" applyBorder="1" applyProtection="1"/>
    <xf numFmtId="10" fontId="30" fillId="0" borderId="0" xfId="95" applyFont="1"/>
    <xf numFmtId="5" fontId="28" fillId="19" borderId="0" xfId="95" applyNumberFormat="1" applyFont="1" applyFill="1" applyProtection="1"/>
    <xf numFmtId="5" fontId="28" fillId="0" borderId="0" xfId="95" applyNumberFormat="1" applyFont="1" applyAlignment="1" applyProtection="1">
      <alignment horizontal="right"/>
    </xf>
    <xf numFmtId="5" fontId="30" fillId="0" borderId="12" xfId="95" applyNumberFormat="1" applyFont="1" applyBorder="1" applyAlignment="1" applyProtection="1">
      <alignment horizontal="right"/>
    </xf>
    <xf numFmtId="10" fontId="13" fillId="19" borderId="12" xfId="95" applyFont="1" applyFill="1" applyBorder="1" applyProtection="1"/>
    <xf numFmtId="10" fontId="30" fillId="0" borderId="0" xfId="95" applyFont="1" applyAlignment="1" applyProtection="1">
      <alignment horizontal="fill"/>
    </xf>
    <xf numFmtId="165" fontId="30" fillId="0" borderId="0" xfId="95" applyNumberFormat="1" applyFont="1" applyAlignment="1" applyProtection="1">
      <alignment horizontal="fill"/>
    </xf>
    <xf numFmtId="5" fontId="52" fillId="0" borderId="0" xfId="95" applyNumberFormat="1" applyFont="1" applyBorder="1" applyProtection="1"/>
    <xf numFmtId="165" fontId="52" fillId="0" borderId="0" xfId="95" applyNumberFormat="1" applyFont="1" applyBorder="1" applyProtection="1"/>
    <xf numFmtId="5" fontId="53" fillId="0" borderId="0" xfId="95" applyNumberFormat="1" applyFont="1" applyBorder="1" applyProtection="1"/>
    <xf numFmtId="10" fontId="52" fillId="0" borderId="0" xfId="95" applyFont="1" applyBorder="1"/>
    <xf numFmtId="10" fontId="52" fillId="0" borderId="0" xfId="95" applyFont="1" applyBorder="1" applyProtection="1"/>
    <xf numFmtId="10" fontId="30" fillId="0" borderId="0" xfId="95" applyFont="1" applyAlignment="1">
      <alignment horizontal="right"/>
    </xf>
    <xf numFmtId="37" fontId="13" fillId="0" borderId="0" xfId="95" applyNumberFormat="1" applyFont="1"/>
    <xf numFmtId="10" fontId="13" fillId="0" borderId="0" xfId="95" applyFont="1" applyAlignment="1">
      <alignment horizontal="right"/>
    </xf>
    <xf numFmtId="10" fontId="24" fillId="0" borderId="0" xfId="95" quotePrefix="1" applyFont="1" applyAlignment="1" applyProtection="1">
      <alignment horizontal="left"/>
    </xf>
    <xf numFmtId="10" fontId="35" fillId="0" borderId="0" xfId="95" quotePrefix="1" applyFont="1" applyAlignment="1">
      <alignment horizontal="left"/>
    </xf>
    <xf numFmtId="10" fontId="24" fillId="0" borderId="0" xfId="95" applyFont="1"/>
    <xf numFmtId="1" fontId="51"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2" applyNumberFormat="1" applyFont="1" applyFill="1" applyBorder="1" applyProtection="1"/>
    <xf numFmtId="10" fontId="28" fillId="19" borderId="0" xfId="95" applyFont="1" applyFill="1" applyBorder="1" applyProtection="1"/>
    <xf numFmtId="0" fontId="15" fillId="18" borderId="0" xfId="97" applyFont="1" applyFill="1"/>
    <xf numFmtId="0" fontId="13" fillId="18" borderId="0" xfId="97" applyFont="1" applyFill="1"/>
    <xf numFmtId="0" fontId="2" fillId="0" borderId="0" xfId="97"/>
    <xf numFmtId="0" fontId="13" fillId="0" borderId="0" xfId="97" applyFont="1"/>
    <xf numFmtId="10" fontId="13" fillId="0" borderId="0" xfId="102" applyNumberFormat="1" applyFont="1"/>
    <xf numFmtId="0" fontId="29" fillId="0" borderId="0" xfId="97" applyFont="1" applyAlignment="1">
      <alignment horizontal="center"/>
    </xf>
    <xf numFmtId="10" fontId="13" fillId="0" borderId="0" xfId="102" applyNumberFormat="1" applyFont="1" applyFill="1"/>
    <xf numFmtId="10" fontId="15" fillId="21" borderId="0" xfId="97" applyNumberFormat="1" applyFont="1" applyFill="1"/>
    <xf numFmtId="10" fontId="15" fillId="21" borderId="0" xfId="102" applyNumberFormat="1" applyFont="1" applyFill="1"/>
    <xf numFmtId="0" fontId="15" fillId="0" borderId="0" xfId="97" applyFont="1"/>
    <xf numFmtId="10" fontId="13" fillId="0" borderId="26" xfId="102" applyNumberFormat="1" applyFont="1" applyBorder="1"/>
    <xf numFmtId="9" fontId="13" fillId="0" borderId="26" xfId="102" applyFont="1" applyBorder="1"/>
    <xf numFmtId="10" fontId="15" fillId="21" borderId="23" xfId="102" applyNumberFormat="1" applyFont="1" applyFill="1" applyBorder="1"/>
    <xf numFmtId="10" fontId="13" fillId="0" borderId="0" xfId="97" applyNumberFormat="1" applyFont="1"/>
    <xf numFmtId="10" fontId="2" fillId="0" borderId="0" xfId="102" applyNumberFormat="1"/>
    <xf numFmtId="10" fontId="13" fillId="0" borderId="0" xfId="97" applyNumberFormat="1" applyFont="1" applyFill="1"/>
    <xf numFmtId="10" fontId="13" fillId="0" borderId="26" xfId="97" applyNumberFormat="1" applyFont="1" applyBorder="1"/>
    <xf numFmtId="0" fontId="2" fillId="18" borderId="0" xfId="97" applyFill="1"/>
    <xf numFmtId="0" fontId="15" fillId="22" borderId="0" xfId="97" applyFont="1" applyFill="1"/>
    <xf numFmtId="0" fontId="13" fillId="22" borderId="0" xfId="97" applyFont="1" applyFill="1"/>
    <xf numFmtId="186" fontId="43" fillId="0" borderId="0" xfId="88" applyNumberFormat="1" applyFont="1" applyFill="1" applyBorder="1" applyProtection="1"/>
    <xf numFmtId="188" fontId="46" fillId="0" borderId="0" xfId="96" applyNumberFormat="1" applyFont="1" applyFill="1"/>
    <xf numFmtId="0" fontId="73" fillId="0" borderId="0" xfId="96" applyFont="1" applyAlignment="1">
      <alignment horizontal="center"/>
    </xf>
    <xf numFmtId="15" fontId="46" fillId="0" borderId="0" xfId="96" applyNumberFormat="1" applyFont="1" applyFill="1" applyAlignment="1">
      <alignment horizontal="center"/>
    </xf>
    <xf numFmtId="15" fontId="73" fillId="23" borderId="0" xfId="96" applyNumberFormat="1" applyFont="1" applyFill="1" applyAlignment="1">
      <alignment horizontal="right"/>
    </xf>
    <xf numFmtId="5" fontId="46" fillId="23" borderId="0" xfId="89" applyNumberFormat="1" applyFont="1" applyFill="1" applyBorder="1" applyProtection="1"/>
    <xf numFmtId="5" fontId="16" fillId="0" borderId="0" xfId="89" applyNumberFormat="1" applyFont="1" applyBorder="1" applyProtection="1"/>
    <xf numFmtId="0" fontId="46" fillId="0" borderId="0" xfId="96" applyFont="1" applyAlignment="1">
      <alignment horizontal="left"/>
    </xf>
    <xf numFmtId="0" fontId="41" fillId="0" borderId="0" xfId="96" applyFont="1"/>
    <xf numFmtId="37" fontId="74" fillId="0" borderId="0" xfId="94" applyFont="1" applyBorder="1" applyAlignment="1">
      <alignment horizontal="centerContinuous" vertical="center" wrapText="1"/>
    </xf>
    <xf numFmtId="37" fontId="74" fillId="0" borderId="0" xfId="94" applyFont="1"/>
    <xf numFmtId="37" fontId="16" fillId="0" borderId="0" xfId="94"/>
    <xf numFmtId="37" fontId="16" fillId="0" borderId="0" xfId="94" applyFill="1"/>
    <xf numFmtId="10" fontId="75" fillId="0" borderId="30" xfId="95" applyFont="1" applyBorder="1" applyAlignment="1">
      <alignment horizontal="centerContinuous" vertical="center" wrapText="1"/>
    </xf>
    <xf numFmtId="10" fontId="32" fillId="0" borderId="26" xfId="95" applyFont="1" applyBorder="1" applyAlignment="1" applyProtection="1">
      <alignment horizontal="centerContinuous" vertical="center" wrapText="1"/>
    </xf>
    <xf numFmtId="10" fontId="32" fillId="0" borderId="31" xfId="95" applyFont="1" applyBorder="1" applyAlignment="1" applyProtection="1">
      <alignment horizontal="centerContinuous" vertical="center" wrapText="1"/>
    </xf>
    <xf numFmtId="10" fontId="32" fillId="0" borderId="32" xfId="95" applyFont="1" applyBorder="1" applyAlignment="1" applyProtection="1">
      <alignment horizontal="centerContinuous" vertical="center" wrapText="1"/>
    </xf>
    <xf numFmtId="10" fontId="13" fillId="0" borderId="10" xfId="95" applyFont="1" applyBorder="1" applyAlignment="1">
      <alignment horizontal="centerContinuous" vertical="center" wrapText="1"/>
    </xf>
    <xf numFmtId="10" fontId="13" fillId="0" borderId="33" xfId="95" applyFont="1" applyBorder="1" applyAlignment="1">
      <alignment horizontal="centerContinuous" vertical="center" wrapText="1"/>
    </xf>
    <xf numFmtId="10" fontId="13" fillId="0" borderId="0" xfId="95" applyNumberFormat="1" applyFont="1" applyFill="1" applyAlignment="1" applyProtection="1"/>
    <xf numFmtId="10" fontId="13" fillId="0" borderId="0" xfId="95" applyFont="1" applyBorder="1" applyAlignment="1" applyProtection="1">
      <alignment horizontal="center"/>
    </xf>
    <xf numFmtId="10" fontId="13" fillId="0" borderId="0" xfId="95" applyNumberFormat="1" applyFont="1" applyFill="1" applyBorder="1" applyAlignment="1" applyProtection="1"/>
    <xf numFmtId="0" fontId="76" fillId="0" borderId="0" xfId="96" quotePrefix="1" applyFont="1" applyFill="1" applyBorder="1" applyAlignment="1" applyProtection="1">
      <alignment horizontal="centerContinuous" vertical="center" wrapText="1"/>
    </xf>
    <xf numFmtId="37" fontId="77" fillId="0" borderId="0" xfId="91" applyFont="1" applyBorder="1" applyAlignment="1">
      <alignment horizontal="centerContinuous" vertical="center" wrapText="1"/>
    </xf>
    <xf numFmtId="37" fontId="16" fillId="0" borderId="0" xfId="91" applyFont="1" applyAlignment="1" applyProtection="1">
      <alignment horizontal="left"/>
    </xf>
    <xf numFmtId="37" fontId="78"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2" applyNumberFormat="1" applyFont="1" applyAlignment="1" applyProtection="1"/>
    <xf numFmtId="5" fontId="16" fillId="0" borderId="0" xfId="59" applyNumberFormat="1" applyFont="1" applyFill="1" applyBorder="1" applyAlignment="1">
      <alignment horizontal="center"/>
    </xf>
    <xf numFmtId="176" fontId="19" fillId="0" borderId="0" xfId="88" applyNumberFormat="1" applyFont="1" applyAlignment="1" applyProtection="1">
      <alignment horizontal="center" wrapText="1"/>
    </xf>
    <xf numFmtId="0" fontId="81" fillId="0" borderId="0" xfId="88" applyFont="1"/>
    <xf numFmtId="0" fontId="0" fillId="0" borderId="0" xfId="0" applyNumberFormat="1"/>
    <xf numFmtId="37" fontId="0" fillId="24" borderId="0" xfId="0" applyFill="1"/>
    <xf numFmtId="0" fontId="0" fillId="24" borderId="0" xfId="0" applyNumberFormat="1" applyFill="1"/>
    <xf numFmtId="10" fontId="28" fillId="0" borderId="0" xfId="95" applyNumberFormat="1" applyFont="1" applyFill="1" applyBorder="1" applyAlignment="1" applyProtection="1"/>
    <xf numFmtId="37" fontId="13" fillId="0" borderId="0" xfId="0" applyFont="1"/>
    <xf numFmtId="181" fontId="18" fillId="0" borderId="0" xfId="0" applyNumberFormat="1" applyFont="1" applyBorder="1" applyAlignment="1">
      <alignment horizontal="left"/>
    </xf>
    <xf numFmtId="5" fontId="6" fillId="0" borderId="0" xfId="96" applyNumberFormat="1" applyFont="1"/>
    <xf numFmtId="7" fontId="4" fillId="0" borderId="0" xfId="95" applyNumberFormat="1"/>
    <xf numFmtId="7" fontId="4" fillId="0" borderId="10" xfId="95" applyNumberFormat="1" applyBorder="1" applyProtection="1"/>
    <xf numFmtId="10" fontId="83" fillId="0" borderId="0" xfId="95" applyNumberFormat="1" applyFont="1" applyFill="1" applyAlignment="1" applyProtection="1"/>
    <xf numFmtId="10" fontId="9" fillId="0" borderId="0" xfId="102" applyNumberFormat="1" applyFont="1"/>
    <xf numFmtId="10" fontId="13" fillId="0" borderId="0" xfId="91" applyNumberFormat="1" applyFont="1"/>
    <xf numFmtId="5" fontId="46" fillId="0" borderId="0" xfId="59" applyNumberFormat="1" applyFont="1" applyFill="1"/>
    <xf numFmtId="189" fontId="13" fillId="0" borderId="0" xfId="55" applyNumberFormat="1" applyFont="1" applyBorder="1" applyAlignment="1"/>
    <xf numFmtId="175" fontId="35" fillId="0" borderId="10" xfId="88" applyNumberFormat="1" applyFont="1" applyFill="1" applyBorder="1" applyProtection="1"/>
    <xf numFmtId="37" fontId="84" fillId="0" borderId="0" xfId="0" applyFont="1"/>
    <xf numFmtId="37" fontId="0" fillId="0" borderId="0" xfId="0" applyNumberFormat="1" applyFont="1"/>
    <xf numFmtId="10" fontId="21" fillId="0" borderId="0" xfId="102" applyNumberFormat="1" applyFont="1" applyFill="1" applyBorder="1"/>
    <xf numFmtId="10" fontId="16" fillId="0" borderId="0" xfId="102" applyNumberFormat="1" applyFont="1"/>
    <xf numFmtId="10" fontId="16" fillId="0" borderId="0" xfId="102" applyNumberFormat="1" applyFont="1" applyFill="1"/>
    <xf numFmtId="187" fontId="45" fillId="0" borderId="0" xfId="95" applyNumberFormat="1" applyFont="1" applyBorder="1"/>
    <xf numFmtId="5" fontId="19" fillId="0" borderId="0" xfId="59" applyNumberFormat="1" applyFont="1" applyFill="1" applyBorder="1"/>
    <xf numFmtId="37" fontId="18" fillId="0" borderId="16" xfId="0" applyFont="1" applyFill="1" applyBorder="1"/>
    <xf numFmtId="10" fontId="25" fillId="0" borderId="0" xfId="103" applyNumberFormat="1" applyFont="1" applyFill="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5"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5" applyFont="1" applyFill="1" applyBorder="1" applyAlignment="1" applyProtection="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168" fontId="13" fillId="0" borderId="0" xfId="95"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81" fillId="0" borderId="0" xfId="88" applyFont="1" applyFill="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6" fillId="0" borderId="0" xfId="89" applyNumberFormat="1" applyFont="1" applyFill="1" applyBorder="1" applyProtection="1"/>
    <xf numFmtId="188" fontId="72"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90"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3" fillId="0" borderId="0" xfId="88" applyNumberFormat="1" applyFont="1" applyFill="1" applyBorder="1" applyProtection="1"/>
    <xf numFmtId="0" fontId="7" fillId="0" borderId="0" xfId="88" applyFont="1" applyBorder="1"/>
    <xf numFmtId="37" fontId="87" fillId="0" borderId="0" xfId="92" applyFont="1" applyFill="1" applyAlignment="1">
      <alignment horizontal="right"/>
    </xf>
    <xf numFmtId="5" fontId="46" fillId="25" borderId="0" xfId="59" applyNumberFormat="1" applyFont="1" applyFill="1" applyBorder="1"/>
    <xf numFmtId="175" fontId="24" fillId="0" borderId="10" xfId="88" applyNumberFormat="1" applyFont="1" applyFill="1" applyBorder="1" applyProtection="1"/>
    <xf numFmtId="175" fontId="25" fillId="0" borderId="10" xfId="88" applyNumberFormat="1" applyFont="1" applyFill="1" applyBorder="1" applyProtection="1"/>
    <xf numFmtId="37" fontId="37" fillId="0" borderId="0" xfId="87" applyFont="1" applyFill="1"/>
    <xf numFmtId="0" fontId="7" fillId="0" borderId="0" xfId="96" quotePrefix="1" applyFont="1" applyFill="1" applyBorder="1" applyAlignment="1" applyProtection="1">
      <alignment horizontal="centerContinuous" vertical="center" wrapText="1"/>
    </xf>
    <xf numFmtId="0" fontId="33" fillId="0" borderId="0" xfId="96" quotePrefix="1" applyFont="1" applyFill="1" applyBorder="1" applyAlignment="1" applyProtection="1">
      <alignment horizontal="centerContinuous" vertical="center" wrapText="1"/>
    </xf>
    <xf numFmtId="37" fontId="22" fillId="0" borderId="0" xfId="87" applyFont="1" applyFill="1"/>
    <xf numFmtId="37" fontId="12" fillId="0" borderId="0" xfId="87" applyFont="1" applyFill="1"/>
    <xf numFmtId="37" fontId="37" fillId="0" borderId="0" xfId="91" applyFont="1" applyFill="1" applyAlignment="1" applyProtection="1">
      <alignment horizontal="center"/>
    </xf>
    <xf numFmtId="37" fontId="88" fillId="0" borderId="0" xfId="91" applyFont="1" applyFill="1" applyAlignment="1" applyProtection="1">
      <alignment horizontal="center"/>
    </xf>
    <xf numFmtId="17" fontId="89" fillId="0" borderId="0" xfId="87" applyNumberFormat="1" applyFont="1" applyFill="1" applyBorder="1" applyAlignment="1">
      <alignment horizontal="center"/>
    </xf>
    <xf numFmtId="37" fontId="89" fillId="0" borderId="0" xfId="87" applyFont="1" applyFill="1" applyBorder="1" applyAlignment="1">
      <alignment horizontal="center" wrapText="1"/>
    </xf>
    <xf numFmtId="37" fontId="88" fillId="0" borderId="0" xfId="87" applyFont="1" applyFill="1" applyBorder="1"/>
    <xf numFmtId="5" fontId="37" fillId="0" borderId="0" xfId="88" applyNumberFormat="1" applyFont="1" applyFill="1" applyBorder="1" applyProtection="1"/>
    <xf numFmtId="5" fontId="90" fillId="0" borderId="0" xfId="88" applyNumberFormat="1" applyFont="1" applyFill="1" applyBorder="1" applyProtection="1"/>
    <xf numFmtId="37" fontId="37" fillId="0" borderId="0" xfId="87" applyFont="1" applyFill="1" applyBorder="1"/>
    <xf numFmtId="5" fontId="81" fillId="0" borderId="0" xfId="88" applyNumberFormat="1" applyFont="1" applyFill="1" applyBorder="1" applyProtection="1"/>
    <xf numFmtId="170" fontId="37" fillId="0" borderId="0" xfId="115" applyNumberFormat="1" applyFont="1" applyFill="1" applyBorder="1" applyProtection="1"/>
    <xf numFmtId="37" fontId="81" fillId="0" borderId="0" xfId="88" applyNumberFormat="1" applyFont="1" applyFill="1" applyBorder="1" applyProtection="1"/>
    <xf numFmtId="37" fontId="37" fillId="0" borderId="0" xfId="87" applyFont="1" applyFill="1" applyBorder="1" applyAlignment="1">
      <alignment horizontal="left" indent="1"/>
    </xf>
    <xf numFmtId="5" fontId="81" fillId="0" borderId="26" xfId="88" applyNumberFormat="1" applyFont="1" applyFill="1" applyBorder="1" applyProtection="1"/>
    <xf numFmtId="5" fontId="90" fillId="0" borderId="26" xfId="88" applyNumberFormat="1" applyFont="1" applyFill="1" applyBorder="1" applyProtection="1"/>
    <xf numFmtId="37" fontId="22" fillId="0" borderId="0" xfId="87" applyFont="1" applyFill="1" applyBorder="1"/>
    <xf numFmtId="37" fontId="88" fillId="0" borderId="0" xfId="87" applyFont="1" applyFill="1" applyBorder="1" applyAlignment="1">
      <alignment horizontal="centerContinuous" vertical="center" wrapText="1"/>
    </xf>
    <xf numFmtId="37" fontId="33" fillId="0" borderId="0" xfId="87" applyFont="1" applyFill="1" applyBorder="1" applyAlignment="1">
      <alignment horizontal="centerContinuous" vertical="center" wrapText="1"/>
    </xf>
    <xf numFmtId="165" fontId="81" fillId="0" borderId="0" xfId="116" applyNumberFormat="1" applyFont="1" applyFill="1" applyBorder="1" applyProtection="1"/>
    <xf numFmtId="10" fontId="91" fillId="0" borderId="0" xfId="87" applyNumberFormat="1" applyFont="1" applyFill="1"/>
    <xf numFmtId="37" fontId="92" fillId="0" borderId="0" xfId="87" applyFont="1" applyFill="1"/>
    <xf numFmtId="168" fontId="37" fillId="0" borderId="0" xfId="87" applyNumberFormat="1" applyFont="1" applyFill="1"/>
    <xf numFmtId="37" fontId="37" fillId="0" borderId="0" xfId="87" applyFont="1" applyFill="1" applyBorder="1" applyAlignment="1">
      <alignment horizontal="left"/>
    </xf>
    <xf numFmtId="10" fontId="81" fillId="0" borderId="12" xfId="88" applyNumberFormat="1" applyFont="1" applyFill="1" applyBorder="1" applyProtection="1"/>
    <xf numFmtId="37" fontId="93" fillId="0" borderId="0" xfId="87" applyFont="1" applyFill="1" applyBorder="1" applyAlignment="1">
      <alignment horizontal="center"/>
    </xf>
    <xf numFmtId="37" fontId="94" fillId="0" borderId="0" xfId="87" applyFont="1" applyFill="1" applyBorder="1" applyAlignment="1">
      <alignment horizontal="center" wrapText="1"/>
    </xf>
    <xf numFmtId="37" fontId="88" fillId="0" borderId="0" xfId="87" applyFont="1" applyFill="1" applyBorder="1" applyAlignment="1">
      <alignment horizontal="left" indent="1"/>
    </xf>
    <xf numFmtId="37" fontId="37" fillId="0" borderId="25" xfId="87" applyFont="1" applyFill="1" applyBorder="1"/>
    <xf numFmtId="5" fontId="90" fillId="0" borderId="25" xfId="88" applyNumberFormat="1" applyFont="1" applyFill="1" applyBorder="1" applyProtection="1"/>
    <xf numFmtId="5" fontId="95" fillId="0" borderId="0" xfId="88" applyNumberFormat="1" applyFont="1" applyFill="1" applyBorder="1" applyAlignment="1" applyProtection="1">
      <alignment horizontal="left"/>
    </xf>
    <xf numFmtId="37" fontId="96" fillId="0" borderId="0" xfId="87" applyFont="1" applyFill="1"/>
    <xf numFmtId="171" fontId="22" fillId="0" borderId="0" xfId="87" applyNumberFormat="1" applyFont="1" applyFill="1"/>
    <xf numFmtId="43" fontId="90" fillId="0" borderId="0" xfId="88" applyNumberFormat="1" applyFont="1" applyFill="1" applyBorder="1" applyProtection="1"/>
    <xf numFmtId="43" fontId="37" fillId="0" borderId="0" xfId="88" applyNumberFormat="1" applyFont="1" applyFill="1" applyBorder="1" applyProtection="1"/>
    <xf numFmtId="39" fontId="97" fillId="25" borderId="0" xfId="0" applyNumberFormat="1" applyFont="1" applyFill="1" applyAlignment="1">
      <alignment horizontal="center"/>
    </xf>
    <xf numFmtId="175" fontId="97" fillId="25" borderId="0" xfId="88" applyNumberFormat="1" applyFont="1" applyFill="1" applyBorder="1" applyProtection="1"/>
    <xf numFmtId="175" fontId="98" fillId="25" borderId="12" xfId="88" applyNumberFormat="1" applyFont="1" applyFill="1" applyBorder="1" applyProtection="1"/>
    <xf numFmtId="175" fontId="98" fillId="25" borderId="25" xfId="88" applyNumberFormat="1" applyFont="1" applyFill="1" applyBorder="1" applyProtection="1"/>
    <xf numFmtId="175" fontId="98" fillId="25" borderId="0" xfId="88" applyNumberFormat="1" applyFont="1" applyFill="1" applyBorder="1" applyProtection="1"/>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6" applyNumberFormat="1" applyFont="1" applyFill="1" applyAlignment="1">
      <alignment horizontal="left"/>
    </xf>
    <xf numFmtId="37" fontId="99" fillId="25" borderId="0" xfId="0" applyFont="1" applyFill="1"/>
    <xf numFmtId="37" fontId="5" fillId="25" borderId="0" xfId="92" applyFont="1" applyFill="1"/>
  </cellXfs>
  <cellStyles count="11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Comma 2 2" xfId="115" xr:uid="{00000000-0005-0000-0000-000038000000}"/>
    <cellStyle name="Comma 3" xfId="57" xr:uid="{00000000-0005-0000-0000-000039000000}"/>
    <cellStyle name="Comma 4" xfId="112" xr:uid="{00000000-0005-0000-0000-00003A000000}"/>
    <cellStyle name="Comma0" xfId="58" xr:uid="{00000000-0005-0000-0000-00003B000000}"/>
    <cellStyle name="Currency" xfId="59" builtinId="4"/>
    <cellStyle name="Currency 2" xfId="60" xr:uid="{00000000-0005-0000-0000-00003D000000}"/>
    <cellStyle name="Currency 3" xfId="61" xr:uid="{00000000-0005-0000-0000-00003E000000}"/>
    <cellStyle name="Currency 4" xfId="113" xr:uid="{00000000-0005-0000-0000-00003F000000}"/>
    <cellStyle name="Currency0" xfId="62" xr:uid="{00000000-0005-0000-0000-000040000000}"/>
    <cellStyle name="Date" xfId="63" xr:uid="{00000000-0005-0000-0000-000041000000}"/>
    <cellStyle name="Explanatory Text" xfId="64" builtinId="53" customBuiltin="1"/>
    <cellStyle name="Explanatory Text 2" xfId="65" xr:uid="{00000000-0005-0000-0000-000043000000}"/>
    <cellStyle name="Good" xfId="66" builtinId="26" customBuiltin="1"/>
    <cellStyle name="Good 2" xfId="67" xr:uid="{00000000-0005-0000-0000-000045000000}"/>
    <cellStyle name="Heading 1" xfId="68" builtinId="16" customBuiltin="1"/>
    <cellStyle name="Heading 1 2" xfId="69" xr:uid="{00000000-0005-0000-0000-000047000000}"/>
    <cellStyle name="Heading 2" xfId="70" builtinId="17" customBuiltin="1"/>
    <cellStyle name="Heading 2 2" xfId="71" xr:uid="{00000000-0005-0000-0000-000049000000}"/>
    <cellStyle name="Heading 3" xfId="72" builtinId="18" customBuiltin="1"/>
    <cellStyle name="Heading 3 2" xfId="73" xr:uid="{00000000-0005-0000-0000-00004B000000}"/>
    <cellStyle name="Heading 4" xfId="74" builtinId="19" customBuiltin="1"/>
    <cellStyle name="Heading 4 2" xfId="75" xr:uid="{00000000-0005-0000-0000-00004D000000}"/>
    <cellStyle name="Input" xfId="76" builtinId="20" customBuiltin="1"/>
    <cellStyle name="Input 2" xfId="77" xr:uid="{00000000-0005-0000-0000-00004F000000}"/>
    <cellStyle name="Linked Cell" xfId="78" builtinId="24" customBuiltin="1"/>
    <cellStyle name="Linked Cell 2" xfId="79" xr:uid="{00000000-0005-0000-0000-000051000000}"/>
    <cellStyle name="Lisa" xfId="80" xr:uid="{00000000-0005-0000-0000-000052000000}"/>
    <cellStyle name="Neutral" xfId="81" builtinId="28" customBuiltin="1"/>
    <cellStyle name="Neutral 2" xfId="82" xr:uid="{00000000-0005-0000-0000-000054000000}"/>
    <cellStyle name="Normal" xfId="0" builtinId="0"/>
    <cellStyle name="Normal 2" xfId="83" xr:uid="{00000000-0005-0000-0000-000056000000}"/>
    <cellStyle name="Normal 2 2" xfId="84" xr:uid="{00000000-0005-0000-0000-000057000000}"/>
    <cellStyle name="Normal 2 2 2" xfId="85" xr:uid="{00000000-0005-0000-0000-000058000000}"/>
    <cellStyle name="Normal 2 3" xfId="86" xr:uid="{00000000-0005-0000-0000-000059000000}"/>
    <cellStyle name="Normal 3" xfId="87" xr:uid="{00000000-0005-0000-0000-00005A000000}"/>
    <cellStyle name="Normal 4" xfId="111" xr:uid="{00000000-0005-0000-0000-00005B000000}"/>
    <cellStyle name="Normal_AMACAPST" xfId="88" xr:uid="{00000000-0005-0000-0000-00005C000000}"/>
    <cellStyle name="Normal_AMORTONR" xfId="89" xr:uid="{00000000-0005-0000-0000-00005D000000}"/>
    <cellStyle name="Normal_COC DEC 00 Company" xfId="90" xr:uid="{00000000-0005-0000-0000-00005E000000}"/>
    <cellStyle name="Normal_COSTOF" xfId="91" xr:uid="{00000000-0005-0000-0000-00005F000000}"/>
    <cellStyle name="Normal_COSTOFD" xfId="92" xr:uid="{00000000-0005-0000-0000-000060000000}"/>
    <cellStyle name="Normal_COSTOFPR" xfId="93" xr:uid="{00000000-0005-0000-0000-000061000000}"/>
    <cellStyle name="Normal_DEG-5C WACC Rate Yr beginning Jun-11 DRAFT2" xfId="94" xr:uid="{00000000-0005-0000-0000-000062000000}"/>
    <cellStyle name="Normal_RATEOFRE" xfId="95" xr:uid="{00000000-0005-0000-0000-000063000000}"/>
    <cellStyle name="Normal_SCHEDULE" xfId="96" xr:uid="{00000000-0005-0000-0000-000064000000}"/>
    <cellStyle name="Normal_WACC" xfId="97" xr:uid="{00000000-0005-0000-0000-000065000000}"/>
    <cellStyle name="Note" xfId="98" builtinId="10" customBuiltin="1"/>
    <cellStyle name="Note 2" xfId="99" xr:uid="{00000000-0005-0000-0000-000067000000}"/>
    <cellStyle name="Output" xfId="100" builtinId="21" customBuiltin="1"/>
    <cellStyle name="Output 2" xfId="101" xr:uid="{00000000-0005-0000-0000-000069000000}"/>
    <cellStyle name="Percent" xfId="102" builtinId="5"/>
    <cellStyle name="Percent 2" xfId="103" xr:uid="{00000000-0005-0000-0000-00006B000000}"/>
    <cellStyle name="Percent 2 2" xfId="116" xr:uid="{00000000-0005-0000-0000-00006C000000}"/>
    <cellStyle name="Percent 3" xfId="104" xr:uid="{00000000-0005-0000-0000-00006D000000}"/>
    <cellStyle name="Percent 4" xfId="114" xr:uid="{00000000-0005-0000-0000-00006E000000}"/>
    <cellStyle name="Title" xfId="105" builtinId="15" customBuiltin="1"/>
    <cellStyle name="Title 2" xfId="106" xr:uid="{00000000-0005-0000-0000-000070000000}"/>
    <cellStyle name="Total" xfId="107" builtinId="25" customBuiltin="1"/>
    <cellStyle name="Total 2" xfId="108" xr:uid="{00000000-0005-0000-0000-000072000000}"/>
    <cellStyle name="Warning Text" xfId="109" builtinId="11" customBuiltin="1"/>
    <cellStyle name="Warning Text 2" xfId="110" xr:uid="{00000000-0005-0000-0000-00007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a:extLst>
            <a:ext uri="{FF2B5EF4-FFF2-40B4-BE49-F238E27FC236}">
              <a16:creationId xmlns:a16="http://schemas.microsoft.com/office/drawing/2014/main" id="{00000000-0008-0000-0B00-000001F8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eith/COC%20DEC%2000%20Compan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ost%20of%20Capital\Cost%20of%20Capital\COC%20Mar%2099\CocJun98\COC%20DEC%2097\AFUDC%20Dec%20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st%20of%20Capital/Cost%20of%20Capital/COC%20Mar%2099/CocJun98/COC%20DEC%2097/AFUDC%20Dec%20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AYMENT%20PROCESSING\Wong%20Matthew\Reports\DailyPaymentTotals_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Capital%20Markets\Regulatory\GRC's\2022\Treasury%20Testimony\Support\2022%20MYP%2011.05_PSE%20Monthly_Long%20Term%20Pla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Capital%20Markets\Regulatory\GRC's\2022\GRC\Support\Basket_2021-08-10_08h_51m%20Moody's%20LIBO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row r="1398">
          <cell r="A1398" t="str">
            <v>06/16/2020</v>
          </cell>
        </row>
        <row r="1399">
          <cell r="A1399" t="str">
            <v>06/17/2020</v>
          </cell>
        </row>
        <row r="1400">
          <cell r="A1400" t="str">
            <v>06/17/2020</v>
          </cell>
        </row>
        <row r="1401">
          <cell r="A1401" t="str">
            <v>06/17/2020</v>
          </cell>
        </row>
        <row r="1402">
          <cell r="A1402" t="str">
            <v>06/17/2020</v>
          </cell>
        </row>
        <row r="1403">
          <cell r="A1403" t="str">
            <v>06/17/2020</v>
          </cell>
        </row>
        <row r="1404">
          <cell r="A1404" t="str">
            <v>06/17/2020</v>
          </cell>
        </row>
        <row r="1405">
          <cell r="A1405" t="str">
            <v>06/17/2020</v>
          </cell>
        </row>
        <row r="1406">
          <cell r="A1406" t="str">
            <v>06/17/2020</v>
          </cell>
        </row>
        <row r="1407">
          <cell r="A1407" t="str">
            <v>06/17/2020</v>
          </cell>
        </row>
        <row r="1408">
          <cell r="A1408" t="str">
            <v>06/17/2020</v>
          </cell>
        </row>
        <row r="1409">
          <cell r="A1409" t="str">
            <v>06/17/2020</v>
          </cell>
        </row>
        <row r="1410">
          <cell r="A1410" t="str">
            <v>06/18/2020</v>
          </cell>
        </row>
        <row r="1411">
          <cell r="A1411" t="str">
            <v>06/18/2020</v>
          </cell>
        </row>
        <row r="1412">
          <cell r="A1412" t="str">
            <v>06/18/2020</v>
          </cell>
        </row>
        <row r="1413">
          <cell r="A1413" t="str">
            <v>06/18/2020</v>
          </cell>
        </row>
        <row r="1414">
          <cell r="A1414" t="str">
            <v>06/18/2020</v>
          </cell>
        </row>
        <row r="1415">
          <cell r="A1415" t="str">
            <v>06/18/2020</v>
          </cell>
        </row>
        <row r="1416">
          <cell r="A1416" t="str">
            <v>06/18/2020</v>
          </cell>
        </row>
        <row r="1417">
          <cell r="A1417" t="str">
            <v>06/18/2020</v>
          </cell>
        </row>
        <row r="1418">
          <cell r="A1418" t="str">
            <v>06/18/2020</v>
          </cell>
        </row>
        <row r="1419">
          <cell r="A1419" t="str">
            <v>06/18/2020</v>
          </cell>
        </row>
        <row r="1420">
          <cell r="A1420" t="str">
            <v>06/18/2020</v>
          </cell>
        </row>
        <row r="1421">
          <cell r="A1421" t="str">
            <v>06/19/2020</v>
          </cell>
        </row>
        <row r="1422">
          <cell r="A1422" t="str">
            <v>06/19/2020</v>
          </cell>
        </row>
        <row r="1423">
          <cell r="A1423" t="str">
            <v>06/19/2020</v>
          </cell>
        </row>
        <row r="1424">
          <cell r="A1424" t="str">
            <v>06/19/2020</v>
          </cell>
        </row>
        <row r="1425">
          <cell r="A1425" t="str">
            <v>06/19/2020</v>
          </cell>
        </row>
        <row r="1426">
          <cell r="A1426" t="str">
            <v>06/19/2020</v>
          </cell>
        </row>
        <row r="1427">
          <cell r="A1427" t="str">
            <v>06/19/2020</v>
          </cell>
        </row>
        <row r="1428">
          <cell r="A1428" t="str">
            <v>06/19/2020</v>
          </cell>
        </row>
        <row r="1429">
          <cell r="A1429" t="str">
            <v>06/19/2020</v>
          </cell>
        </row>
        <row r="1430">
          <cell r="A1430" t="str">
            <v>06/19/2020</v>
          </cell>
        </row>
        <row r="1431">
          <cell r="A1431" t="str">
            <v>06/20/2020</v>
          </cell>
        </row>
        <row r="1432">
          <cell r="A1432" t="str">
            <v>06/20/2020</v>
          </cell>
        </row>
        <row r="1433">
          <cell r="A1433" t="str">
            <v>06/21/2020</v>
          </cell>
        </row>
        <row r="1434">
          <cell r="A1434" t="str">
            <v>06/22/2020</v>
          </cell>
        </row>
        <row r="1435">
          <cell r="A1435" t="str">
            <v>06/22/2020</v>
          </cell>
        </row>
        <row r="1436">
          <cell r="A1436" t="str">
            <v>06/22/2020</v>
          </cell>
        </row>
        <row r="1437">
          <cell r="A1437" t="str">
            <v>06/22/2020</v>
          </cell>
        </row>
        <row r="1438">
          <cell r="A1438" t="str">
            <v>06/22/2020</v>
          </cell>
        </row>
        <row r="1439">
          <cell r="A1439" t="str">
            <v>06/22/2020</v>
          </cell>
        </row>
        <row r="1440">
          <cell r="A1440" t="str">
            <v>06/22/2020</v>
          </cell>
        </row>
        <row r="1441">
          <cell r="A1441" t="str">
            <v>06/22/2020</v>
          </cell>
        </row>
        <row r="1442">
          <cell r="A1442" t="str">
            <v>06/22/2020</v>
          </cell>
        </row>
        <row r="1443">
          <cell r="A1443" t="str">
            <v>06/22/2020</v>
          </cell>
        </row>
        <row r="1444">
          <cell r="A1444" t="str">
            <v>06/22/2020</v>
          </cell>
        </row>
        <row r="1445">
          <cell r="A1445" t="str">
            <v>06/23/2020</v>
          </cell>
        </row>
        <row r="1446">
          <cell r="A1446" t="str">
            <v>06/23/2020</v>
          </cell>
        </row>
        <row r="1447">
          <cell r="A1447" t="str">
            <v>06/23/2020</v>
          </cell>
        </row>
        <row r="1448">
          <cell r="A1448" t="str">
            <v>06/23/2020</v>
          </cell>
        </row>
        <row r="1449">
          <cell r="A1449" t="str">
            <v>06/23/2020</v>
          </cell>
        </row>
        <row r="1450">
          <cell r="A1450" t="str">
            <v>06/23/2020</v>
          </cell>
        </row>
        <row r="1451">
          <cell r="A1451" t="str">
            <v>06/23/2020</v>
          </cell>
        </row>
        <row r="1452">
          <cell r="A1452" t="str">
            <v>06/23/2020</v>
          </cell>
        </row>
        <row r="1453">
          <cell r="A1453" t="str">
            <v>06/23/2020</v>
          </cell>
        </row>
        <row r="1454">
          <cell r="A1454" t="str">
            <v>06/23/2020</v>
          </cell>
        </row>
        <row r="1455">
          <cell r="A1455" t="str">
            <v>06/24/2020</v>
          </cell>
        </row>
        <row r="1456">
          <cell r="A1456" t="str">
            <v>06/24/2020</v>
          </cell>
        </row>
        <row r="1457">
          <cell r="A1457" t="str">
            <v>06/24/2020</v>
          </cell>
        </row>
        <row r="1458">
          <cell r="A1458" t="str">
            <v>06/24/2020</v>
          </cell>
        </row>
        <row r="1459">
          <cell r="A1459" t="str">
            <v>06/24/2020</v>
          </cell>
        </row>
        <row r="1460">
          <cell r="A1460" t="str">
            <v>06/24/2020</v>
          </cell>
        </row>
        <row r="1461">
          <cell r="A1461" t="str">
            <v>06/24/2020</v>
          </cell>
        </row>
        <row r="1462">
          <cell r="A1462" t="str">
            <v>06/24/2020</v>
          </cell>
        </row>
        <row r="1463">
          <cell r="A1463" t="str">
            <v>06/24/2020</v>
          </cell>
        </row>
        <row r="1464">
          <cell r="A1464" t="str">
            <v>06/24/2020</v>
          </cell>
        </row>
        <row r="1465">
          <cell r="A1465" t="str">
            <v>06/25/2020</v>
          </cell>
        </row>
        <row r="1466">
          <cell r="A1466" t="str">
            <v>06/25/2020</v>
          </cell>
        </row>
        <row r="1467">
          <cell r="A1467" t="str">
            <v>06/25/2020</v>
          </cell>
        </row>
        <row r="1468">
          <cell r="A1468" t="str">
            <v>06/25/2020</v>
          </cell>
        </row>
        <row r="1469">
          <cell r="A1469" t="str">
            <v>06/25/2020</v>
          </cell>
        </row>
        <row r="1470">
          <cell r="A1470" t="str">
            <v>06/25/2020</v>
          </cell>
        </row>
        <row r="1471">
          <cell r="A1471" t="str">
            <v>06/25/2020</v>
          </cell>
        </row>
        <row r="1472">
          <cell r="A1472" t="str">
            <v>06/25/2020</v>
          </cell>
        </row>
        <row r="1473">
          <cell r="A1473" t="str">
            <v>06/25/2020</v>
          </cell>
        </row>
        <row r="1474">
          <cell r="A1474" t="str">
            <v>06/25/2020</v>
          </cell>
        </row>
        <row r="1475">
          <cell r="A1475" t="str">
            <v>06/25/2020</v>
          </cell>
        </row>
        <row r="1476">
          <cell r="A1476" t="str">
            <v>06/25/2020</v>
          </cell>
        </row>
        <row r="1477">
          <cell r="A1477" t="str">
            <v>06/26/2020</v>
          </cell>
        </row>
        <row r="1478">
          <cell r="A1478" t="str">
            <v>06/26/2020</v>
          </cell>
        </row>
        <row r="1479">
          <cell r="A1479" t="str">
            <v>06/26/2020</v>
          </cell>
        </row>
        <row r="1480">
          <cell r="A1480" t="str">
            <v>06/26/2020</v>
          </cell>
        </row>
        <row r="1481">
          <cell r="A1481" t="str">
            <v>06/26/2020</v>
          </cell>
        </row>
        <row r="1482">
          <cell r="A1482" t="str">
            <v>06/26/2020</v>
          </cell>
        </row>
        <row r="1483">
          <cell r="A1483" t="str">
            <v>06/26/2020</v>
          </cell>
        </row>
        <row r="1484">
          <cell r="A1484" t="str">
            <v>06/26/2020</v>
          </cell>
        </row>
        <row r="1485">
          <cell r="A1485" t="str">
            <v>06/26/2020</v>
          </cell>
        </row>
        <row r="1486">
          <cell r="A1486" t="str">
            <v>06/27/2020</v>
          </cell>
        </row>
        <row r="1487">
          <cell r="A1487" t="str">
            <v>06/27/2020</v>
          </cell>
        </row>
        <row r="1488">
          <cell r="A1488" t="str">
            <v>06/28/2020</v>
          </cell>
        </row>
        <row r="1489">
          <cell r="A1489" t="str">
            <v>06/29/2020</v>
          </cell>
        </row>
        <row r="1490">
          <cell r="A1490" t="str">
            <v>06/29/2020</v>
          </cell>
        </row>
        <row r="1491">
          <cell r="A1491" t="str">
            <v>06/29/2020</v>
          </cell>
        </row>
        <row r="1492">
          <cell r="A1492" t="str">
            <v>06/29/2020</v>
          </cell>
        </row>
        <row r="1493">
          <cell r="A1493" t="str">
            <v>06/29/2020</v>
          </cell>
        </row>
        <row r="1494">
          <cell r="A1494" t="str">
            <v>06/29/2020</v>
          </cell>
        </row>
        <row r="1495">
          <cell r="A1495" t="str">
            <v>06/29/2020</v>
          </cell>
        </row>
        <row r="1496">
          <cell r="A1496" t="str">
            <v>06/29/2020</v>
          </cell>
        </row>
        <row r="1497">
          <cell r="A1497" t="str">
            <v>06/29/2020</v>
          </cell>
        </row>
        <row r="1498">
          <cell r="A1498" t="str">
            <v>06/29/2020</v>
          </cell>
        </row>
        <row r="1499">
          <cell r="A1499" t="str">
            <v>06/29/2020</v>
          </cell>
        </row>
        <row r="1500">
          <cell r="A1500" t="str">
            <v>06/29/2020</v>
          </cell>
        </row>
        <row r="1501">
          <cell r="A1501" t="str">
            <v>06/29/2020</v>
          </cell>
        </row>
        <row r="1502">
          <cell r="A1502" t="str">
            <v>06/30/2020</v>
          </cell>
        </row>
        <row r="1503">
          <cell r="A1503" t="str">
            <v>06/30/2020</v>
          </cell>
        </row>
        <row r="1504">
          <cell r="A1504" t="str">
            <v>06/30/2020</v>
          </cell>
        </row>
        <row r="1505">
          <cell r="A1505" t="str">
            <v>06/30/2020</v>
          </cell>
        </row>
        <row r="1506">
          <cell r="A1506" t="str">
            <v>06/30/2020</v>
          </cell>
        </row>
        <row r="1507">
          <cell r="A1507" t="str">
            <v>06/30/2020</v>
          </cell>
        </row>
        <row r="1508">
          <cell r="A1508" t="str">
            <v>06/30/2020</v>
          </cell>
        </row>
        <row r="1509">
          <cell r="A1509" t="str">
            <v>06/30/2020</v>
          </cell>
        </row>
        <row r="1510">
          <cell r="A1510" t="str">
            <v>06/30/2020</v>
          </cell>
        </row>
        <row r="1511">
          <cell r="A1511" t="str">
            <v>06/30/2020</v>
          </cell>
        </row>
        <row r="1512">
          <cell r="A1512" t="str">
            <v>07/01/2020</v>
          </cell>
        </row>
        <row r="1513">
          <cell r="A1513" t="str">
            <v>07/01/2020</v>
          </cell>
        </row>
        <row r="1514">
          <cell r="A1514" t="str">
            <v>07/01/2020</v>
          </cell>
        </row>
        <row r="1515">
          <cell r="A1515" t="str">
            <v>07/01/2020</v>
          </cell>
        </row>
        <row r="1516">
          <cell r="A1516" t="str">
            <v>07/01/2020</v>
          </cell>
        </row>
        <row r="1517">
          <cell r="A1517" t="str">
            <v>07/01/2020</v>
          </cell>
        </row>
        <row r="1518">
          <cell r="A1518" t="str">
            <v>07/01/2020</v>
          </cell>
        </row>
        <row r="1519">
          <cell r="A1519" t="str">
            <v>07/01/2020</v>
          </cell>
        </row>
        <row r="1520">
          <cell r="A1520" t="str">
            <v>07/01/2020</v>
          </cell>
        </row>
        <row r="1521">
          <cell r="A1521" t="str">
            <v>07/01/2020</v>
          </cell>
        </row>
        <row r="1522">
          <cell r="A1522" t="str">
            <v>07/01/2020</v>
          </cell>
        </row>
        <row r="1523">
          <cell r="A1523" t="str">
            <v>07/01/2020</v>
          </cell>
        </row>
        <row r="1524">
          <cell r="A1524" t="str">
            <v>07/02/2020</v>
          </cell>
        </row>
        <row r="1525">
          <cell r="A1525" t="str">
            <v>07/02/2020</v>
          </cell>
        </row>
        <row r="1526">
          <cell r="A1526" t="str">
            <v>07/02/2020</v>
          </cell>
        </row>
        <row r="1527">
          <cell r="A1527" t="str">
            <v>07/02/2020</v>
          </cell>
        </row>
        <row r="1528">
          <cell r="A1528" t="str">
            <v>07/02/2020</v>
          </cell>
        </row>
        <row r="1529">
          <cell r="A1529" t="str">
            <v>07/02/2020</v>
          </cell>
        </row>
        <row r="1530">
          <cell r="A1530" t="str">
            <v>07/02/2020</v>
          </cell>
        </row>
        <row r="1531">
          <cell r="A1531" t="str">
            <v>07/02/2020</v>
          </cell>
        </row>
        <row r="1532">
          <cell r="A1532" t="str">
            <v>07/02/2020</v>
          </cell>
        </row>
        <row r="1533">
          <cell r="A1533" t="str">
            <v>07/02/2020</v>
          </cell>
        </row>
        <row r="1534">
          <cell r="A1534" t="str">
            <v>07/02/2020</v>
          </cell>
        </row>
        <row r="1535">
          <cell r="A1535" t="str">
            <v>07/03/2020</v>
          </cell>
        </row>
        <row r="1536">
          <cell r="A1536" t="str">
            <v>07/03/2020</v>
          </cell>
        </row>
        <row r="1537">
          <cell r="A1537" t="str">
            <v>07/03/2020</v>
          </cell>
        </row>
        <row r="1538">
          <cell r="A1538" t="str">
            <v>07/03/2020</v>
          </cell>
        </row>
        <row r="1539">
          <cell r="A1539" t="str">
            <v>07/03/2020</v>
          </cell>
        </row>
        <row r="1540">
          <cell r="A1540" t="str">
            <v>07/03/2020</v>
          </cell>
        </row>
        <row r="1541">
          <cell r="A1541" t="str">
            <v>07/03/2020</v>
          </cell>
        </row>
        <row r="1542">
          <cell r="A1542" t="str">
            <v>07/04/2020</v>
          </cell>
        </row>
        <row r="1543">
          <cell r="A1543" t="str">
            <v>07/04/2020</v>
          </cell>
        </row>
        <row r="1544">
          <cell r="A1544" t="str">
            <v>07/04/2020</v>
          </cell>
        </row>
        <row r="1545">
          <cell r="A1545" t="str">
            <v>07/05/2020</v>
          </cell>
        </row>
        <row r="1546">
          <cell r="A1546" t="str">
            <v>07/06/2020</v>
          </cell>
        </row>
        <row r="1547">
          <cell r="A1547" t="str">
            <v>07/06/2020</v>
          </cell>
        </row>
        <row r="1548">
          <cell r="A1548" t="str">
            <v>07/06/2020</v>
          </cell>
        </row>
        <row r="1549">
          <cell r="A1549" t="str">
            <v>07/06/2020</v>
          </cell>
        </row>
        <row r="1550">
          <cell r="A1550" t="str">
            <v>07/06/2020</v>
          </cell>
        </row>
        <row r="1551">
          <cell r="A1551" t="str">
            <v>07/06/2020</v>
          </cell>
        </row>
        <row r="1552">
          <cell r="A1552" t="str">
            <v>07/06/2020</v>
          </cell>
        </row>
        <row r="1553">
          <cell r="A1553" t="str">
            <v>07/06/2020</v>
          </cell>
        </row>
        <row r="1554">
          <cell r="A1554" t="str">
            <v>07/06/2020</v>
          </cell>
        </row>
        <row r="1555">
          <cell r="A1555" t="str">
            <v>07/06/2020</v>
          </cell>
        </row>
        <row r="1556">
          <cell r="A1556" t="str">
            <v>07/07/2020</v>
          </cell>
        </row>
        <row r="1557">
          <cell r="A1557" t="str">
            <v>07/07/2020</v>
          </cell>
        </row>
        <row r="1558">
          <cell r="A1558" t="str">
            <v>07/07/2020</v>
          </cell>
        </row>
        <row r="1559">
          <cell r="A1559" t="str">
            <v>07/07/2020</v>
          </cell>
        </row>
        <row r="1560">
          <cell r="A1560" t="str">
            <v>07/07/2020</v>
          </cell>
        </row>
        <row r="1561">
          <cell r="A1561" t="str">
            <v>07/07/2020</v>
          </cell>
        </row>
        <row r="1562">
          <cell r="A1562" t="str">
            <v>07/07/2020</v>
          </cell>
        </row>
        <row r="1563">
          <cell r="A1563" t="str">
            <v>07/07/2020</v>
          </cell>
        </row>
        <row r="1564">
          <cell r="A1564" t="str">
            <v>07/07/2020</v>
          </cell>
        </row>
        <row r="1565">
          <cell r="A1565" t="str">
            <v>07/07/2020</v>
          </cell>
        </row>
        <row r="1566">
          <cell r="A1566" t="str">
            <v>07/08/2020</v>
          </cell>
        </row>
        <row r="1567">
          <cell r="A1567" t="str">
            <v>07/08/2020</v>
          </cell>
        </row>
        <row r="1568">
          <cell r="A1568" t="str">
            <v>07/08/2020</v>
          </cell>
        </row>
        <row r="1569">
          <cell r="A1569" t="str">
            <v>07/08/2020</v>
          </cell>
        </row>
        <row r="1570">
          <cell r="A1570" t="str">
            <v>07/08/2020</v>
          </cell>
        </row>
        <row r="1571">
          <cell r="A1571" t="str">
            <v>07/08/2020</v>
          </cell>
        </row>
        <row r="1572">
          <cell r="A1572" t="str">
            <v>07/08/2020</v>
          </cell>
        </row>
        <row r="1573">
          <cell r="A1573" t="str">
            <v>07/08/2020</v>
          </cell>
        </row>
        <row r="1574">
          <cell r="A1574" t="str">
            <v>07/08/2020</v>
          </cell>
        </row>
        <row r="1575">
          <cell r="A1575" t="str">
            <v>07/08/2020</v>
          </cell>
        </row>
        <row r="1576">
          <cell r="A1576" t="str">
            <v>07/08/2020</v>
          </cell>
        </row>
        <row r="1577">
          <cell r="A1577" t="str">
            <v>07/08/2020</v>
          </cell>
        </row>
        <row r="1578">
          <cell r="A1578" t="str">
            <v>07/08/2020</v>
          </cell>
        </row>
        <row r="1579">
          <cell r="A1579" t="str">
            <v>07/09/2020</v>
          </cell>
        </row>
        <row r="1580">
          <cell r="A1580" t="str">
            <v>07/09/2020</v>
          </cell>
        </row>
        <row r="1581">
          <cell r="A1581" t="str">
            <v>07/09/2020</v>
          </cell>
        </row>
        <row r="1582">
          <cell r="A1582" t="str">
            <v>07/09/2020</v>
          </cell>
        </row>
        <row r="1583">
          <cell r="A1583" t="str">
            <v>07/09/2020</v>
          </cell>
        </row>
        <row r="1584">
          <cell r="A1584" t="str">
            <v>07/09/2020</v>
          </cell>
        </row>
        <row r="1585">
          <cell r="A1585" t="str">
            <v>07/09/2020</v>
          </cell>
        </row>
        <row r="1586">
          <cell r="A1586" t="str">
            <v>07/09/2020</v>
          </cell>
        </row>
        <row r="1587">
          <cell r="A1587" t="str">
            <v>07/09/2020</v>
          </cell>
        </row>
        <row r="1588">
          <cell r="A1588" t="str">
            <v>07/09/2020</v>
          </cell>
        </row>
        <row r="1589">
          <cell r="A1589" t="str">
            <v>07/10/2020</v>
          </cell>
        </row>
        <row r="1590">
          <cell r="A1590" t="str">
            <v>07/10/2020</v>
          </cell>
        </row>
        <row r="1591">
          <cell r="A1591" t="str">
            <v>07/10/2020</v>
          </cell>
        </row>
        <row r="1592">
          <cell r="A1592" t="str">
            <v>07/10/2020</v>
          </cell>
        </row>
        <row r="1593">
          <cell r="A1593" t="str">
            <v>07/10/2020</v>
          </cell>
        </row>
        <row r="1594">
          <cell r="A1594" t="str">
            <v>07/10/2020</v>
          </cell>
        </row>
        <row r="1595">
          <cell r="A1595" t="str">
            <v>07/10/2020</v>
          </cell>
        </row>
        <row r="1596">
          <cell r="A1596" t="str">
            <v>07/10/2020</v>
          </cell>
        </row>
        <row r="1597">
          <cell r="A1597" t="str">
            <v>07/10/2020</v>
          </cell>
        </row>
        <row r="1598">
          <cell r="A1598" t="str">
            <v>07/10/2020</v>
          </cell>
        </row>
        <row r="1599">
          <cell r="A1599" t="str">
            <v>07/10/2020</v>
          </cell>
        </row>
        <row r="1600">
          <cell r="A1600" t="str">
            <v>07/11/2020</v>
          </cell>
        </row>
        <row r="1601">
          <cell r="A1601" t="str">
            <v>07/11/2020</v>
          </cell>
        </row>
        <row r="1602">
          <cell r="A1602" t="str">
            <v>07/12/2020</v>
          </cell>
        </row>
        <row r="1603">
          <cell r="A1603" t="str">
            <v>07/13/2020</v>
          </cell>
        </row>
        <row r="1604">
          <cell r="A1604" t="str">
            <v>07/13/2020</v>
          </cell>
        </row>
        <row r="1605">
          <cell r="A1605" t="str">
            <v>07/13/2020</v>
          </cell>
        </row>
        <row r="1606">
          <cell r="A1606" t="str">
            <v>07/13/2020</v>
          </cell>
        </row>
        <row r="1607">
          <cell r="A1607" t="str">
            <v>07/13/2020</v>
          </cell>
        </row>
        <row r="1608">
          <cell r="A1608" t="str">
            <v>07/13/2020</v>
          </cell>
        </row>
        <row r="1609">
          <cell r="A1609" t="str">
            <v>07/13/2020</v>
          </cell>
        </row>
        <row r="1610">
          <cell r="A1610" t="str">
            <v>07/13/2020</v>
          </cell>
        </row>
        <row r="1611">
          <cell r="A1611" t="str">
            <v>07/13/2020</v>
          </cell>
        </row>
        <row r="1612">
          <cell r="A1612" t="str">
            <v>07/13/2020</v>
          </cell>
        </row>
        <row r="1613">
          <cell r="A1613" t="str">
            <v>07/14/2020</v>
          </cell>
        </row>
        <row r="1614">
          <cell r="A1614" t="str">
            <v>07/14/2020</v>
          </cell>
        </row>
        <row r="1615">
          <cell r="A1615" t="str">
            <v>07/14/2020</v>
          </cell>
        </row>
        <row r="1616">
          <cell r="A1616" t="str">
            <v>07/14/2020</v>
          </cell>
        </row>
        <row r="1617">
          <cell r="A1617" t="str">
            <v>07/14/2020</v>
          </cell>
        </row>
        <row r="1618">
          <cell r="A1618" t="str">
            <v>07/14/2020</v>
          </cell>
        </row>
        <row r="1619">
          <cell r="A1619" t="str">
            <v>07/14/2020</v>
          </cell>
        </row>
        <row r="1620">
          <cell r="A1620" t="str">
            <v>07/14/2020</v>
          </cell>
        </row>
        <row r="1621">
          <cell r="A1621" t="str">
            <v>07/14/2020</v>
          </cell>
        </row>
        <row r="1622">
          <cell r="A1622" t="str">
            <v>07/14/2020</v>
          </cell>
        </row>
        <row r="1623">
          <cell r="A1623" t="str">
            <v>07/15/2020</v>
          </cell>
        </row>
        <row r="1624">
          <cell r="A1624" t="str">
            <v>07/15/2020</v>
          </cell>
        </row>
        <row r="1625">
          <cell r="A1625" t="str">
            <v>07/15/2020</v>
          </cell>
        </row>
        <row r="1626">
          <cell r="A1626" t="str">
            <v>07/15/2020</v>
          </cell>
        </row>
        <row r="1627">
          <cell r="A1627" t="str">
            <v>07/15/2020</v>
          </cell>
        </row>
        <row r="1628">
          <cell r="A1628" t="str">
            <v>07/15/2020</v>
          </cell>
        </row>
        <row r="1629">
          <cell r="A1629" t="str">
            <v>07/15/2020</v>
          </cell>
        </row>
        <row r="1630">
          <cell r="A1630" t="str">
            <v>07/15/2020</v>
          </cell>
        </row>
        <row r="1631">
          <cell r="A1631" t="str">
            <v>07/15/2020</v>
          </cell>
        </row>
        <row r="1632">
          <cell r="A1632" t="str">
            <v>07/15/2020</v>
          </cell>
        </row>
        <row r="1633">
          <cell r="A1633" t="str">
            <v>07/16/2020</v>
          </cell>
        </row>
        <row r="1634">
          <cell r="A1634" t="str">
            <v>07/16/2020</v>
          </cell>
        </row>
        <row r="1635">
          <cell r="A1635" t="str">
            <v>07/16/2020</v>
          </cell>
        </row>
        <row r="1636">
          <cell r="A1636" t="str">
            <v>07/16/2020</v>
          </cell>
        </row>
        <row r="1637">
          <cell r="A1637" t="str">
            <v>07/16/2020</v>
          </cell>
        </row>
        <row r="1638">
          <cell r="A1638" t="str">
            <v>07/16/2020</v>
          </cell>
        </row>
        <row r="1639">
          <cell r="A1639" t="str">
            <v>07/16/2020</v>
          </cell>
        </row>
        <row r="1640">
          <cell r="A1640" t="str">
            <v>07/16/2020</v>
          </cell>
        </row>
        <row r="1641">
          <cell r="A1641" t="str">
            <v>07/16/2020</v>
          </cell>
        </row>
        <row r="1642">
          <cell r="A1642" t="str">
            <v>07/16/2020</v>
          </cell>
        </row>
        <row r="1643">
          <cell r="A1643" t="str">
            <v>07/16/2020</v>
          </cell>
        </row>
        <row r="1644">
          <cell r="A1644" t="str">
            <v>07/16/2020</v>
          </cell>
        </row>
        <row r="1645">
          <cell r="A1645" t="str">
            <v>07/16/2020</v>
          </cell>
        </row>
        <row r="1646">
          <cell r="A1646" t="str">
            <v>07/16/2020</v>
          </cell>
        </row>
        <row r="1647">
          <cell r="A1647" t="str">
            <v>07/17/2020</v>
          </cell>
        </row>
        <row r="1648">
          <cell r="A1648" t="str">
            <v>07/17/2020</v>
          </cell>
        </row>
        <row r="1649">
          <cell r="A1649" t="str">
            <v>07/17/2020</v>
          </cell>
        </row>
        <row r="1650">
          <cell r="A1650" t="str">
            <v>07/17/2020</v>
          </cell>
        </row>
        <row r="1651">
          <cell r="A1651" t="str">
            <v>07/17/2020</v>
          </cell>
        </row>
        <row r="1652">
          <cell r="A1652" t="str">
            <v>07/17/2020</v>
          </cell>
        </row>
        <row r="1653">
          <cell r="A1653" t="str">
            <v>07/17/2020</v>
          </cell>
        </row>
        <row r="1654">
          <cell r="A1654" t="str">
            <v>07/17/2020</v>
          </cell>
        </row>
        <row r="1655">
          <cell r="A1655" t="str">
            <v>07/17/2020</v>
          </cell>
        </row>
        <row r="1656">
          <cell r="A1656" t="str">
            <v>07/17/2020</v>
          </cell>
        </row>
        <row r="1657">
          <cell r="A1657" t="str">
            <v>07/17/2020</v>
          </cell>
        </row>
        <row r="1658">
          <cell r="A1658" t="str">
            <v>07/18/2020</v>
          </cell>
        </row>
        <row r="1659">
          <cell r="A1659" t="str">
            <v>07/18/2020</v>
          </cell>
        </row>
        <row r="1660">
          <cell r="A1660" t="str">
            <v>07/19/2020</v>
          </cell>
        </row>
        <row r="1661">
          <cell r="A1661" t="str">
            <v>07/20/2020</v>
          </cell>
        </row>
        <row r="1662">
          <cell r="A1662" t="str">
            <v>07/20/2020</v>
          </cell>
        </row>
        <row r="1663">
          <cell r="A1663" t="str">
            <v>07/20/2020</v>
          </cell>
        </row>
        <row r="1664">
          <cell r="A1664" t="str">
            <v>07/20/2020</v>
          </cell>
        </row>
        <row r="1665">
          <cell r="A1665" t="str">
            <v>07/20/2020</v>
          </cell>
        </row>
        <row r="1666">
          <cell r="A1666" t="str">
            <v>07/20/2020</v>
          </cell>
        </row>
        <row r="1667">
          <cell r="A1667" t="str">
            <v>07/20/2020</v>
          </cell>
        </row>
        <row r="1668">
          <cell r="A1668" t="str">
            <v>07/20/2020</v>
          </cell>
        </row>
        <row r="1669">
          <cell r="A1669" t="str">
            <v>07/20/2020</v>
          </cell>
        </row>
        <row r="1670">
          <cell r="A1670" t="str">
            <v>07/20/2020</v>
          </cell>
        </row>
        <row r="1671">
          <cell r="A1671" t="str">
            <v>07/21/2020</v>
          </cell>
        </row>
        <row r="1672">
          <cell r="A1672" t="str">
            <v>07/21/2020</v>
          </cell>
        </row>
        <row r="1673">
          <cell r="A1673" t="str">
            <v>07/21/2020</v>
          </cell>
        </row>
        <row r="1674">
          <cell r="A1674" t="str">
            <v>07/21/2020</v>
          </cell>
        </row>
        <row r="1675">
          <cell r="A1675" t="str">
            <v>07/21/2020</v>
          </cell>
        </row>
        <row r="1676">
          <cell r="A1676" t="str">
            <v>07/21/2020</v>
          </cell>
        </row>
        <row r="1677">
          <cell r="A1677" t="str">
            <v>07/21/2020</v>
          </cell>
        </row>
        <row r="1678">
          <cell r="A1678" t="str">
            <v>07/21/2020</v>
          </cell>
        </row>
        <row r="1679">
          <cell r="A1679" t="str">
            <v>07/21/2020</v>
          </cell>
        </row>
        <row r="1680">
          <cell r="A1680" t="str">
            <v>07/21/2020</v>
          </cell>
        </row>
        <row r="1681">
          <cell r="A1681" t="str">
            <v>07/22/2020</v>
          </cell>
        </row>
        <row r="1682">
          <cell r="A1682" t="str">
            <v>07/22/2020</v>
          </cell>
        </row>
        <row r="1683">
          <cell r="A1683" t="str">
            <v>07/22/2020</v>
          </cell>
        </row>
        <row r="1684">
          <cell r="A1684" t="str">
            <v>07/22/2020</v>
          </cell>
        </row>
        <row r="1685">
          <cell r="A1685" t="str">
            <v>07/22/2020</v>
          </cell>
        </row>
        <row r="1686">
          <cell r="A1686" t="str">
            <v>07/22/2020</v>
          </cell>
        </row>
        <row r="1687">
          <cell r="A1687" t="str">
            <v>07/22/2020</v>
          </cell>
        </row>
        <row r="1688">
          <cell r="A1688" t="str">
            <v>07/22/2020</v>
          </cell>
        </row>
        <row r="1689">
          <cell r="A1689" t="str">
            <v>07/22/2020</v>
          </cell>
        </row>
        <row r="1690">
          <cell r="A1690" t="str">
            <v>07/22/2020</v>
          </cell>
        </row>
        <row r="1691">
          <cell r="A1691" t="str">
            <v>07/22/2020</v>
          </cell>
        </row>
        <row r="1692">
          <cell r="A1692" t="str">
            <v>07/23/2020</v>
          </cell>
        </row>
        <row r="1693">
          <cell r="A1693" t="str">
            <v>07/23/2020</v>
          </cell>
        </row>
        <row r="1694">
          <cell r="A1694" t="str">
            <v>07/23/2020</v>
          </cell>
        </row>
        <row r="1695">
          <cell r="A1695" t="str">
            <v>07/23/2020</v>
          </cell>
        </row>
        <row r="1696">
          <cell r="A1696" t="str">
            <v>07/23/2020</v>
          </cell>
        </row>
        <row r="1697">
          <cell r="A1697" t="str">
            <v>07/23/2020</v>
          </cell>
        </row>
        <row r="1698">
          <cell r="A1698" t="str">
            <v>07/23/2020</v>
          </cell>
        </row>
        <row r="1699">
          <cell r="A1699" t="str">
            <v>07/23/2020</v>
          </cell>
        </row>
        <row r="1700">
          <cell r="A1700" t="str">
            <v>07/23/2020</v>
          </cell>
        </row>
        <row r="1701">
          <cell r="A1701" t="str">
            <v>07/23/2020</v>
          </cell>
        </row>
        <row r="1702">
          <cell r="A1702" t="str">
            <v>07/24/2020</v>
          </cell>
        </row>
        <row r="1703">
          <cell r="A1703" t="str">
            <v>07/24/2020</v>
          </cell>
        </row>
        <row r="1704">
          <cell r="A1704" t="str">
            <v>07/24/2020</v>
          </cell>
        </row>
        <row r="1705">
          <cell r="A1705" t="str">
            <v>07/24/2020</v>
          </cell>
        </row>
        <row r="1706">
          <cell r="A1706" t="str">
            <v>07/24/2020</v>
          </cell>
        </row>
        <row r="1707">
          <cell r="A1707" t="str">
            <v>07/24/2020</v>
          </cell>
        </row>
        <row r="1708">
          <cell r="A1708" t="str">
            <v>07/24/2020</v>
          </cell>
        </row>
        <row r="1709">
          <cell r="A1709" t="str">
            <v>07/24/2020</v>
          </cell>
        </row>
        <row r="1710">
          <cell r="A1710" t="str">
            <v>07/24/2020</v>
          </cell>
        </row>
        <row r="1711">
          <cell r="A1711" t="str">
            <v>07/24/2020</v>
          </cell>
        </row>
        <row r="1712">
          <cell r="A1712" t="str">
            <v>07/25/2020</v>
          </cell>
        </row>
        <row r="1713">
          <cell r="A1713" t="str">
            <v>07/25/2020</v>
          </cell>
        </row>
        <row r="1714">
          <cell r="A1714" t="str">
            <v>07/26/2020</v>
          </cell>
        </row>
        <row r="1715">
          <cell r="A1715" t="str">
            <v>07/27/2020</v>
          </cell>
        </row>
        <row r="1716">
          <cell r="A1716" t="str">
            <v>07/27/2020</v>
          </cell>
        </row>
        <row r="1717">
          <cell r="A1717" t="str">
            <v>07/27/2020</v>
          </cell>
        </row>
        <row r="1718">
          <cell r="A1718" t="str">
            <v>07/27/2020</v>
          </cell>
        </row>
        <row r="1719">
          <cell r="A1719" t="str">
            <v>07/27/2020</v>
          </cell>
        </row>
        <row r="1720">
          <cell r="A1720" t="str">
            <v>07/27/2020</v>
          </cell>
        </row>
        <row r="1721">
          <cell r="A1721" t="str">
            <v>07/27/2020</v>
          </cell>
        </row>
        <row r="1722">
          <cell r="A1722" t="str">
            <v>07/27/2020</v>
          </cell>
        </row>
        <row r="1723">
          <cell r="A1723" t="str">
            <v>07/27/2020</v>
          </cell>
        </row>
        <row r="1724">
          <cell r="A1724" t="str">
            <v>07/27/2020</v>
          </cell>
        </row>
        <row r="1725">
          <cell r="A1725" t="str">
            <v>07/28/2020</v>
          </cell>
        </row>
        <row r="1726">
          <cell r="A1726" t="str">
            <v>07/28/2020</v>
          </cell>
        </row>
        <row r="1727">
          <cell r="A1727" t="str">
            <v>07/28/2020</v>
          </cell>
        </row>
        <row r="1728">
          <cell r="A1728" t="str">
            <v>07/28/2020</v>
          </cell>
        </row>
        <row r="1729">
          <cell r="A1729" t="str">
            <v>07/28/2020</v>
          </cell>
        </row>
        <row r="1730">
          <cell r="A1730" t="str">
            <v>07/28/2020</v>
          </cell>
        </row>
        <row r="1731">
          <cell r="A1731" t="str">
            <v>07/28/2020</v>
          </cell>
        </row>
        <row r="1732">
          <cell r="A1732" t="str">
            <v>07/28/2020</v>
          </cell>
        </row>
        <row r="1733">
          <cell r="A1733" t="str">
            <v>07/28/2020</v>
          </cell>
        </row>
        <row r="1734">
          <cell r="A1734" t="str">
            <v>07/28/2020</v>
          </cell>
        </row>
        <row r="1735">
          <cell r="A1735" t="str">
            <v>07/29/2020</v>
          </cell>
        </row>
        <row r="1736">
          <cell r="A1736" t="str">
            <v>07/29/2020</v>
          </cell>
        </row>
        <row r="1737">
          <cell r="A1737" t="str">
            <v>07/29/2020</v>
          </cell>
        </row>
        <row r="1738">
          <cell r="A1738" t="str">
            <v>07/29/2020</v>
          </cell>
        </row>
        <row r="1739">
          <cell r="A1739" t="str">
            <v>07/29/2020</v>
          </cell>
        </row>
        <row r="1740">
          <cell r="A1740" t="str">
            <v>07/29/2020</v>
          </cell>
        </row>
        <row r="1741">
          <cell r="A1741" t="str">
            <v>07/29/2020</v>
          </cell>
        </row>
        <row r="1742">
          <cell r="A1742" t="str">
            <v>07/29/2020</v>
          </cell>
        </row>
        <row r="1743">
          <cell r="A1743" t="str">
            <v>07/29/2020</v>
          </cell>
        </row>
        <row r="1744">
          <cell r="A1744" t="str">
            <v>07/29/2020</v>
          </cell>
        </row>
        <row r="1745">
          <cell r="A1745" t="str">
            <v>07/29/2020</v>
          </cell>
        </row>
        <row r="1746">
          <cell r="A1746" t="str">
            <v>07/29/2020</v>
          </cell>
        </row>
        <row r="1747">
          <cell r="A1747" t="str">
            <v>07/29/2020</v>
          </cell>
        </row>
        <row r="1748">
          <cell r="A1748" t="str">
            <v>07/30/2020</v>
          </cell>
        </row>
        <row r="1749">
          <cell r="A1749" t="str">
            <v>07/30/2020</v>
          </cell>
        </row>
        <row r="1750">
          <cell r="A1750" t="str">
            <v>07/30/2020</v>
          </cell>
        </row>
        <row r="1751">
          <cell r="A1751" t="str">
            <v>07/30/2020</v>
          </cell>
        </row>
        <row r="1752">
          <cell r="A1752" t="str">
            <v>07/30/2020</v>
          </cell>
        </row>
        <row r="1753">
          <cell r="A1753" t="str">
            <v>07/30/2020</v>
          </cell>
        </row>
        <row r="1754">
          <cell r="A1754" t="str">
            <v>07/30/2020</v>
          </cell>
        </row>
        <row r="1755">
          <cell r="A1755" t="str">
            <v>07/30/2020</v>
          </cell>
        </row>
        <row r="1756">
          <cell r="A1756" t="str">
            <v>07/30/2020</v>
          </cell>
        </row>
        <row r="1757">
          <cell r="A1757" t="str">
            <v>07/30/2020</v>
          </cell>
        </row>
        <row r="1758">
          <cell r="A1758" t="str">
            <v>07/30/2020</v>
          </cell>
        </row>
        <row r="1759">
          <cell r="A1759" t="str">
            <v>07/30/2020</v>
          </cell>
        </row>
        <row r="1760">
          <cell r="A1760" t="str">
            <v>07/31/2020</v>
          </cell>
        </row>
        <row r="1761">
          <cell r="A1761" t="str">
            <v>07/31/2020</v>
          </cell>
        </row>
        <row r="1762">
          <cell r="A1762" t="str">
            <v>07/31/2020</v>
          </cell>
        </row>
        <row r="1763">
          <cell r="A1763" t="str">
            <v>07/31/2020</v>
          </cell>
        </row>
        <row r="1764">
          <cell r="A1764" t="str">
            <v>07/31/2020</v>
          </cell>
        </row>
        <row r="1765">
          <cell r="A1765" t="str">
            <v>07/31/2020</v>
          </cell>
        </row>
        <row r="1766">
          <cell r="A1766" t="str">
            <v>07/31/2020</v>
          </cell>
        </row>
        <row r="1767">
          <cell r="A1767" t="str">
            <v>07/31/2020</v>
          </cell>
        </row>
        <row r="1768">
          <cell r="A1768" t="str">
            <v>07/31/2020</v>
          </cell>
        </row>
        <row r="1769">
          <cell r="A1769" t="str">
            <v>07/31/2020</v>
          </cell>
        </row>
        <row r="1770">
          <cell r="A1770" t="str">
            <v>08/01/2020</v>
          </cell>
        </row>
        <row r="1771">
          <cell r="A1771" t="str">
            <v>08/01/2020</v>
          </cell>
        </row>
        <row r="1772">
          <cell r="A1772" t="str">
            <v>08/01/2020</v>
          </cell>
        </row>
        <row r="1773">
          <cell r="A1773" t="str">
            <v>08/02/2020</v>
          </cell>
        </row>
        <row r="1774">
          <cell r="A1774" t="str">
            <v>08/02/2020</v>
          </cell>
        </row>
        <row r="1775">
          <cell r="A1775" t="str">
            <v>08/03/2020</v>
          </cell>
        </row>
        <row r="1776">
          <cell r="A1776" t="str">
            <v>08/03/2020</v>
          </cell>
        </row>
        <row r="1777">
          <cell r="A1777" t="str">
            <v>08/03/2020</v>
          </cell>
        </row>
        <row r="1778">
          <cell r="A1778" t="str">
            <v>08/03/2020</v>
          </cell>
        </row>
        <row r="1779">
          <cell r="A1779" t="str">
            <v>08/03/2020</v>
          </cell>
        </row>
        <row r="1780">
          <cell r="A1780" t="str">
            <v>08/03/2020</v>
          </cell>
        </row>
        <row r="1781">
          <cell r="A1781" t="str">
            <v>08/03/2020</v>
          </cell>
        </row>
        <row r="1782">
          <cell r="A1782" t="str">
            <v>08/03/2020</v>
          </cell>
        </row>
        <row r="1783">
          <cell r="A1783" t="str">
            <v>08/03/2020</v>
          </cell>
        </row>
        <row r="1784">
          <cell r="A1784" t="str">
            <v>08/03/2020</v>
          </cell>
        </row>
        <row r="1785">
          <cell r="A1785" t="str">
            <v>08/03/2020</v>
          </cell>
        </row>
        <row r="1786">
          <cell r="A1786" t="str">
            <v>08/03/2020</v>
          </cell>
        </row>
        <row r="1787">
          <cell r="A1787" t="str">
            <v>08/04/2020</v>
          </cell>
        </row>
        <row r="1788">
          <cell r="A1788" t="str">
            <v>08/04/2020</v>
          </cell>
        </row>
        <row r="1789">
          <cell r="A1789" t="str">
            <v>08/04/2020</v>
          </cell>
        </row>
        <row r="1790">
          <cell r="A1790" t="str">
            <v>08/04/2020</v>
          </cell>
        </row>
        <row r="1791">
          <cell r="A1791" t="str">
            <v>08/04/2020</v>
          </cell>
        </row>
        <row r="1792">
          <cell r="A1792" t="str">
            <v>08/04/2020</v>
          </cell>
        </row>
        <row r="1793">
          <cell r="A1793" t="str">
            <v>08/04/2020</v>
          </cell>
        </row>
        <row r="1794">
          <cell r="A1794" t="str">
            <v>08/04/2020</v>
          </cell>
        </row>
        <row r="1795">
          <cell r="A1795" t="str">
            <v>08/04/2020</v>
          </cell>
        </row>
        <row r="1796">
          <cell r="A1796" t="str">
            <v>08/04/2020</v>
          </cell>
        </row>
        <row r="1797">
          <cell r="A1797" t="str">
            <v>08/04/2020</v>
          </cell>
        </row>
        <row r="1798">
          <cell r="A1798" t="str">
            <v>08/04/2020</v>
          </cell>
        </row>
        <row r="1799">
          <cell r="A1799" t="str">
            <v>08/04/2020</v>
          </cell>
        </row>
        <row r="1800">
          <cell r="A1800" t="str">
            <v>08/05/2020</v>
          </cell>
        </row>
        <row r="1801">
          <cell r="A1801" t="str">
            <v>08/05/2020</v>
          </cell>
        </row>
        <row r="1802">
          <cell r="A1802" t="str">
            <v>08/05/2020</v>
          </cell>
        </row>
        <row r="1803">
          <cell r="A1803" t="str">
            <v>08/05/2020</v>
          </cell>
        </row>
        <row r="1804">
          <cell r="A1804" t="str">
            <v>08/05/2020</v>
          </cell>
        </row>
        <row r="1805">
          <cell r="A1805" t="str">
            <v>08/05/2020</v>
          </cell>
        </row>
        <row r="1806">
          <cell r="A1806" t="str">
            <v>08/05/2020</v>
          </cell>
        </row>
        <row r="1807">
          <cell r="A1807" t="str">
            <v>08/05/2020</v>
          </cell>
        </row>
        <row r="1808">
          <cell r="A1808" t="str">
            <v>08/05/2020</v>
          </cell>
        </row>
        <row r="1809">
          <cell r="A1809" t="str">
            <v>08/05/2020</v>
          </cell>
        </row>
        <row r="1810">
          <cell r="A1810" t="str">
            <v>08/05/2020</v>
          </cell>
        </row>
        <row r="1811">
          <cell r="A1811" t="str">
            <v>08/05/2020</v>
          </cell>
        </row>
        <row r="1812">
          <cell r="A1812" t="str">
            <v>08/06/2020</v>
          </cell>
        </row>
        <row r="1813">
          <cell r="A1813" t="str">
            <v>08/06/2020</v>
          </cell>
        </row>
        <row r="1814">
          <cell r="A1814" t="str">
            <v>08/06/2020</v>
          </cell>
        </row>
        <row r="1815">
          <cell r="A1815" t="str">
            <v>08/06/2020</v>
          </cell>
        </row>
        <row r="1816">
          <cell r="A1816" t="str">
            <v>08/06/2020</v>
          </cell>
        </row>
        <row r="1817">
          <cell r="A1817" t="str">
            <v>08/06/2020</v>
          </cell>
        </row>
        <row r="1818">
          <cell r="A1818" t="str">
            <v>08/06/2020</v>
          </cell>
        </row>
        <row r="1819">
          <cell r="A1819" t="str">
            <v>08/06/2020</v>
          </cell>
        </row>
        <row r="1820">
          <cell r="A1820" t="str">
            <v>08/06/2020</v>
          </cell>
        </row>
        <row r="1821">
          <cell r="A1821" t="str">
            <v>08/06/2020</v>
          </cell>
        </row>
        <row r="1822">
          <cell r="A1822" t="str">
            <v>08/07/2020</v>
          </cell>
        </row>
        <row r="1823">
          <cell r="A1823" t="str">
            <v>08/07/2020</v>
          </cell>
        </row>
        <row r="1824">
          <cell r="A1824" t="str">
            <v>08/07/2020</v>
          </cell>
        </row>
        <row r="1825">
          <cell r="A1825" t="str">
            <v>08/07/2020</v>
          </cell>
        </row>
        <row r="1826">
          <cell r="A1826" t="str">
            <v>08/07/2020</v>
          </cell>
        </row>
        <row r="1827">
          <cell r="A1827" t="str">
            <v>08/07/2020</v>
          </cell>
        </row>
        <row r="1828">
          <cell r="A1828" t="str">
            <v>08/07/2020</v>
          </cell>
        </row>
        <row r="1829">
          <cell r="A1829" t="str">
            <v>08/07/2020</v>
          </cell>
        </row>
        <row r="1830">
          <cell r="A1830" t="str">
            <v>08/07/2020</v>
          </cell>
        </row>
        <row r="1831">
          <cell r="A1831" t="str">
            <v>08/07/2020</v>
          </cell>
        </row>
        <row r="1832">
          <cell r="A1832" t="str">
            <v>08/08/2020</v>
          </cell>
        </row>
        <row r="1833">
          <cell r="A1833" t="str">
            <v>08/08/2020</v>
          </cell>
        </row>
        <row r="1834">
          <cell r="A1834" t="str">
            <v>08/09/2020</v>
          </cell>
        </row>
        <row r="1835">
          <cell r="A1835" t="str">
            <v>08/10/2020</v>
          </cell>
        </row>
        <row r="1836">
          <cell r="A1836" t="str">
            <v>08/10/2020</v>
          </cell>
        </row>
        <row r="1837">
          <cell r="A1837" t="str">
            <v>08/10/2020</v>
          </cell>
        </row>
        <row r="1838">
          <cell r="A1838" t="str">
            <v>08/10/2020</v>
          </cell>
        </row>
        <row r="1839">
          <cell r="A1839" t="str">
            <v>08/10/2020</v>
          </cell>
        </row>
        <row r="1840">
          <cell r="A1840" t="str">
            <v>08/10/2020</v>
          </cell>
        </row>
        <row r="1841">
          <cell r="A1841" t="str">
            <v>08/10/2020</v>
          </cell>
        </row>
        <row r="1842">
          <cell r="A1842" t="str">
            <v>08/10/2020</v>
          </cell>
        </row>
        <row r="1843">
          <cell r="A1843" t="str">
            <v>08/10/2020</v>
          </cell>
        </row>
        <row r="1844">
          <cell r="A1844" t="str">
            <v>08/10/2020</v>
          </cell>
        </row>
        <row r="1845">
          <cell r="A1845" t="str">
            <v>08/11/2020</v>
          </cell>
        </row>
        <row r="1846">
          <cell r="A1846" t="str">
            <v>08/11/2020</v>
          </cell>
        </row>
        <row r="1847">
          <cell r="A1847" t="str">
            <v>08/11/2020</v>
          </cell>
        </row>
        <row r="1848">
          <cell r="A1848" t="str">
            <v>08/11/2020</v>
          </cell>
        </row>
        <row r="1849">
          <cell r="A1849" t="str">
            <v>08/11/2020</v>
          </cell>
        </row>
        <row r="1850">
          <cell r="A1850" t="str">
            <v>08/11/2020</v>
          </cell>
        </row>
        <row r="1851">
          <cell r="A1851" t="str">
            <v>08/11/2020</v>
          </cell>
        </row>
        <row r="1852">
          <cell r="A1852" t="str">
            <v>08/11/2020</v>
          </cell>
        </row>
        <row r="1853">
          <cell r="A1853" t="str">
            <v>08/11/2020</v>
          </cell>
        </row>
        <row r="1854">
          <cell r="A1854" t="str">
            <v>08/11/2020</v>
          </cell>
        </row>
        <row r="1855">
          <cell r="A1855" t="str">
            <v>08/12/2020</v>
          </cell>
        </row>
        <row r="1856">
          <cell r="A1856" t="str">
            <v>08/12/2020</v>
          </cell>
        </row>
        <row r="1857">
          <cell r="A1857" t="str">
            <v>08/12/2020</v>
          </cell>
        </row>
        <row r="1858">
          <cell r="A1858" t="str">
            <v>08/12/2020</v>
          </cell>
        </row>
        <row r="1859">
          <cell r="A1859" t="str">
            <v>08/12/2020</v>
          </cell>
        </row>
        <row r="1860">
          <cell r="A1860" t="str">
            <v>08/12/2020</v>
          </cell>
        </row>
        <row r="1861">
          <cell r="A1861" t="str">
            <v>08/12/2020</v>
          </cell>
        </row>
        <row r="1862">
          <cell r="A1862" t="str">
            <v>08/12/2020</v>
          </cell>
        </row>
        <row r="1863">
          <cell r="A1863" t="str">
            <v>08/12/2020</v>
          </cell>
        </row>
        <row r="1864">
          <cell r="A1864" t="str">
            <v>08/12/2020</v>
          </cell>
        </row>
        <row r="1865">
          <cell r="A1865" t="str">
            <v>08/12/2020</v>
          </cell>
        </row>
        <row r="1866">
          <cell r="A1866" t="str">
            <v>08/13/2020</v>
          </cell>
        </row>
        <row r="1867">
          <cell r="A1867" t="str">
            <v>08/13/2020</v>
          </cell>
        </row>
        <row r="1868">
          <cell r="A1868" t="str">
            <v>08/13/2020</v>
          </cell>
        </row>
        <row r="1869">
          <cell r="A1869" t="str">
            <v>08/13/2020</v>
          </cell>
        </row>
        <row r="1870">
          <cell r="A1870" t="str">
            <v>08/13/2020</v>
          </cell>
        </row>
        <row r="1871">
          <cell r="A1871" t="str">
            <v>08/13/2020</v>
          </cell>
        </row>
        <row r="1872">
          <cell r="A1872" t="str">
            <v>08/13/2020</v>
          </cell>
        </row>
        <row r="1873">
          <cell r="A1873" t="str">
            <v>08/13/2020</v>
          </cell>
        </row>
        <row r="1874">
          <cell r="A1874" t="str">
            <v>08/13/2020</v>
          </cell>
        </row>
        <row r="1875">
          <cell r="A1875" t="str">
            <v>08/13/2020</v>
          </cell>
        </row>
        <row r="1876">
          <cell r="A1876" t="str">
            <v>08/14/2020</v>
          </cell>
        </row>
        <row r="1877">
          <cell r="A1877" t="str">
            <v>08/14/2020</v>
          </cell>
        </row>
        <row r="1878">
          <cell r="A1878" t="str">
            <v>08/14/2020</v>
          </cell>
        </row>
        <row r="1879">
          <cell r="A1879" t="str">
            <v>08/14/2020</v>
          </cell>
        </row>
        <row r="1880">
          <cell r="A1880" t="str">
            <v>08/14/2020</v>
          </cell>
        </row>
        <row r="1881">
          <cell r="A1881" t="str">
            <v>08/14/2020</v>
          </cell>
        </row>
        <row r="1882">
          <cell r="A1882" t="str">
            <v>08/14/2020</v>
          </cell>
        </row>
        <row r="1883">
          <cell r="A1883" t="str">
            <v>08/14/2020</v>
          </cell>
        </row>
        <row r="1884">
          <cell r="A1884" t="str">
            <v>08/14/2020</v>
          </cell>
        </row>
        <row r="1885">
          <cell r="A1885" t="str">
            <v>08/14/2020</v>
          </cell>
        </row>
        <row r="1886">
          <cell r="A1886" t="str">
            <v>08/15/2020</v>
          </cell>
        </row>
        <row r="1887">
          <cell r="A1887" t="str">
            <v>08/15/2020</v>
          </cell>
        </row>
        <row r="1888">
          <cell r="A1888" t="str">
            <v>08/16/2020</v>
          </cell>
        </row>
        <row r="1889">
          <cell r="A1889" t="str">
            <v>08/17/2020</v>
          </cell>
        </row>
        <row r="1890">
          <cell r="A1890" t="str">
            <v>08/17/2020</v>
          </cell>
        </row>
        <row r="1891">
          <cell r="A1891" t="str">
            <v>08/17/2020</v>
          </cell>
        </row>
        <row r="1892">
          <cell r="A1892" t="str">
            <v>08/17/2020</v>
          </cell>
        </row>
        <row r="1893">
          <cell r="A1893" t="str">
            <v>08/17/2020</v>
          </cell>
        </row>
        <row r="1894">
          <cell r="A1894" t="str">
            <v>08/17/2020</v>
          </cell>
        </row>
        <row r="1895">
          <cell r="A1895" t="str">
            <v>08/17/2020</v>
          </cell>
        </row>
        <row r="1896">
          <cell r="A1896" t="str">
            <v>08/17/2020</v>
          </cell>
        </row>
        <row r="1897">
          <cell r="A1897" t="str">
            <v>08/17/2020</v>
          </cell>
        </row>
        <row r="1898">
          <cell r="A1898" t="str">
            <v>08/17/2020</v>
          </cell>
        </row>
        <row r="1899">
          <cell r="A1899" t="str">
            <v>08/18/2020</v>
          </cell>
        </row>
        <row r="1900">
          <cell r="A1900" t="str">
            <v>08/18/2020</v>
          </cell>
        </row>
        <row r="1901">
          <cell r="A1901" t="str">
            <v>08/18/2020</v>
          </cell>
        </row>
        <row r="1902">
          <cell r="A1902" t="str">
            <v>08/18/2020</v>
          </cell>
        </row>
        <row r="1903">
          <cell r="A1903" t="str">
            <v>08/18/2020</v>
          </cell>
        </row>
        <row r="1904">
          <cell r="A1904" t="str">
            <v>08/18/2020</v>
          </cell>
        </row>
        <row r="1905">
          <cell r="A1905" t="str">
            <v>08/18/2020</v>
          </cell>
        </row>
        <row r="1906">
          <cell r="A1906" t="str">
            <v>08/18/2020</v>
          </cell>
        </row>
        <row r="1907">
          <cell r="A1907" t="str">
            <v>08/18/2020</v>
          </cell>
        </row>
        <row r="1908">
          <cell r="A1908" t="str">
            <v>08/18/2020</v>
          </cell>
        </row>
        <row r="1909">
          <cell r="A1909" t="str">
            <v>08/18/2020</v>
          </cell>
        </row>
        <row r="1910">
          <cell r="A1910" t="str">
            <v>08/19/2020</v>
          </cell>
        </row>
        <row r="1911">
          <cell r="A1911" t="str">
            <v>08/19/2020</v>
          </cell>
        </row>
        <row r="1912">
          <cell r="A1912" t="str">
            <v>08/19/2020</v>
          </cell>
        </row>
        <row r="1913">
          <cell r="A1913" t="str">
            <v>08/19/2020</v>
          </cell>
        </row>
        <row r="1914">
          <cell r="A1914" t="str">
            <v>08/19/2020</v>
          </cell>
        </row>
        <row r="1915">
          <cell r="A1915" t="str">
            <v>08/19/2020</v>
          </cell>
        </row>
        <row r="1916">
          <cell r="A1916" t="str">
            <v>08/19/2020</v>
          </cell>
        </row>
        <row r="1917">
          <cell r="A1917" t="str">
            <v>08/19/2020</v>
          </cell>
        </row>
        <row r="1918">
          <cell r="A1918" t="str">
            <v>08/19/2020</v>
          </cell>
        </row>
        <row r="1919">
          <cell r="A1919" t="str">
            <v>08/19/2020</v>
          </cell>
        </row>
        <row r="1920">
          <cell r="A1920" t="str">
            <v>08/19/2020</v>
          </cell>
        </row>
        <row r="1921">
          <cell r="A1921" t="str">
            <v>08/20/2020</v>
          </cell>
        </row>
        <row r="1922">
          <cell r="A1922" t="str">
            <v>08/20/2020</v>
          </cell>
        </row>
        <row r="1923">
          <cell r="A1923" t="str">
            <v>08/20/2020</v>
          </cell>
        </row>
        <row r="1924">
          <cell r="A1924" t="str">
            <v>08/20/2020</v>
          </cell>
        </row>
        <row r="1925">
          <cell r="A1925" t="str">
            <v>08/20/2020</v>
          </cell>
        </row>
        <row r="1926">
          <cell r="A1926" t="str">
            <v>08/20/2020</v>
          </cell>
        </row>
        <row r="1927">
          <cell r="A1927" t="str">
            <v>08/20/2020</v>
          </cell>
        </row>
        <row r="1928">
          <cell r="A1928" t="str">
            <v>08/20/2020</v>
          </cell>
        </row>
        <row r="1929">
          <cell r="A1929" t="str">
            <v>08/20/2020</v>
          </cell>
        </row>
        <row r="1930">
          <cell r="A1930" t="str">
            <v>08/20/2020</v>
          </cell>
        </row>
        <row r="1931">
          <cell r="A1931" t="str">
            <v>08/20/2020</v>
          </cell>
        </row>
        <row r="1932">
          <cell r="A1932" t="str">
            <v>08/21/2020</v>
          </cell>
        </row>
        <row r="1933">
          <cell r="A1933" t="str">
            <v>08/21/2020</v>
          </cell>
        </row>
        <row r="1934">
          <cell r="A1934" t="str">
            <v>08/21/2020</v>
          </cell>
        </row>
        <row r="1935">
          <cell r="A1935" t="str">
            <v>08/21/2020</v>
          </cell>
        </row>
        <row r="1936">
          <cell r="A1936" t="str">
            <v>08/21/2020</v>
          </cell>
        </row>
        <row r="1937">
          <cell r="A1937" t="str">
            <v>08/21/2020</v>
          </cell>
        </row>
        <row r="1938">
          <cell r="A1938" t="str">
            <v>08/21/2020</v>
          </cell>
        </row>
        <row r="1939">
          <cell r="A1939" t="str">
            <v>08/21/2020</v>
          </cell>
        </row>
        <row r="1940">
          <cell r="A1940" t="str">
            <v>08/21/2020</v>
          </cell>
        </row>
        <row r="1941">
          <cell r="A1941" t="str">
            <v>08/21/2020</v>
          </cell>
        </row>
        <row r="1942">
          <cell r="A1942" t="str">
            <v>08/21/2020</v>
          </cell>
        </row>
        <row r="1943">
          <cell r="A1943" t="str">
            <v>08/22/2020</v>
          </cell>
        </row>
        <row r="1944">
          <cell r="A1944" t="str">
            <v>08/22/2020</v>
          </cell>
        </row>
        <row r="1945">
          <cell r="A1945" t="str">
            <v>08/22/2020</v>
          </cell>
        </row>
        <row r="1946">
          <cell r="A1946" t="str">
            <v>08/23/2020</v>
          </cell>
        </row>
        <row r="1947">
          <cell r="A1947" t="str">
            <v>08/24/2020</v>
          </cell>
        </row>
        <row r="1948">
          <cell r="A1948" t="str">
            <v>08/24/2020</v>
          </cell>
        </row>
        <row r="1949">
          <cell r="A1949" t="str">
            <v>08/24/2020</v>
          </cell>
        </row>
        <row r="1950">
          <cell r="A1950" t="str">
            <v>08/24/2020</v>
          </cell>
        </row>
        <row r="1951">
          <cell r="A1951" t="str">
            <v>08/24/2020</v>
          </cell>
        </row>
        <row r="1952">
          <cell r="A1952" t="str">
            <v>08/24/2020</v>
          </cell>
        </row>
        <row r="1953">
          <cell r="A1953" t="str">
            <v>08/24/2020</v>
          </cell>
        </row>
        <row r="1954">
          <cell r="A1954" t="str">
            <v>08/24/2020</v>
          </cell>
        </row>
        <row r="1955">
          <cell r="A1955" t="str">
            <v>08/24/2020</v>
          </cell>
        </row>
        <row r="1956">
          <cell r="A1956" t="str">
            <v>08/24/2020</v>
          </cell>
        </row>
        <row r="1957">
          <cell r="A1957" t="str">
            <v>08/25/2020</v>
          </cell>
        </row>
        <row r="1958">
          <cell r="A1958" t="str">
            <v>08/25/2020</v>
          </cell>
        </row>
        <row r="1959">
          <cell r="A1959" t="str">
            <v>08/25/2020</v>
          </cell>
        </row>
        <row r="1960">
          <cell r="A1960" t="str">
            <v>08/25/2020</v>
          </cell>
        </row>
        <row r="1961">
          <cell r="A1961" t="str">
            <v>08/25/2020</v>
          </cell>
        </row>
        <row r="1962">
          <cell r="A1962" t="str">
            <v>08/25/2020</v>
          </cell>
        </row>
        <row r="1963">
          <cell r="A1963" t="str">
            <v>08/25/2020</v>
          </cell>
        </row>
        <row r="1964">
          <cell r="A1964" t="str">
            <v>08/25/2020</v>
          </cell>
        </row>
        <row r="1965">
          <cell r="A1965" t="str">
            <v>08/25/2020</v>
          </cell>
        </row>
        <row r="1966">
          <cell r="A1966" t="str">
            <v>08/25/2020</v>
          </cell>
        </row>
        <row r="1967">
          <cell r="A1967" t="str">
            <v>08/25/2020</v>
          </cell>
        </row>
        <row r="1968">
          <cell r="A1968" t="str">
            <v>08/25/2020</v>
          </cell>
        </row>
        <row r="1969">
          <cell r="A1969" t="str">
            <v>08/26/2020</v>
          </cell>
        </row>
        <row r="1970">
          <cell r="A1970" t="str">
            <v>08/26/2020</v>
          </cell>
        </row>
        <row r="1971">
          <cell r="A1971" t="str">
            <v>08/26/2020</v>
          </cell>
        </row>
        <row r="1972">
          <cell r="A1972" t="str">
            <v>08/26/2020</v>
          </cell>
        </row>
        <row r="1973">
          <cell r="A1973" t="str">
            <v>08/26/2020</v>
          </cell>
        </row>
        <row r="1974">
          <cell r="A1974" t="str">
            <v>08/26/2020</v>
          </cell>
        </row>
        <row r="1975">
          <cell r="A1975" t="str">
            <v>08/26/2020</v>
          </cell>
        </row>
        <row r="1976">
          <cell r="A1976" t="str">
            <v>08/26/2020</v>
          </cell>
        </row>
        <row r="1977">
          <cell r="A1977" t="str">
            <v>08/26/2020</v>
          </cell>
        </row>
        <row r="1978">
          <cell r="A1978" t="str">
            <v>08/26/2020</v>
          </cell>
        </row>
        <row r="1979">
          <cell r="A1979" t="str">
            <v>08/27/2020</v>
          </cell>
        </row>
        <row r="1980">
          <cell r="A1980" t="str">
            <v>08/27/2020</v>
          </cell>
        </row>
        <row r="1981">
          <cell r="A1981" t="str">
            <v>08/27/2020</v>
          </cell>
        </row>
        <row r="1982">
          <cell r="A1982" t="str">
            <v>08/27/2020</v>
          </cell>
        </row>
        <row r="1983">
          <cell r="A1983" t="str">
            <v>08/27/2020</v>
          </cell>
        </row>
        <row r="1984">
          <cell r="A1984" t="str">
            <v>08/27/2020</v>
          </cell>
        </row>
        <row r="1985">
          <cell r="A1985" t="str">
            <v>08/27/2020</v>
          </cell>
        </row>
        <row r="1986">
          <cell r="A1986" t="str">
            <v>08/27/2020</v>
          </cell>
        </row>
        <row r="1987">
          <cell r="A1987" t="str">
            <v>08/27/2020</v>
          </cell>
        </row>
        <row r="1988">
          <cell r="A1988" t="str">
            <v>08/27/2020</v>
          </cell>
        </row>
        <row r="1989">
          <cell r="A1989" t="str">
            <v>08/27/2020</v>
          </cell>
        </row>
        <row r="1990">
          <cell r="A1990" t="str">
            <v>08/27/2020</v>
          </cell>
        </row>
        <row r="1991">
          <cell r="A1991" t="str">
            <v>08/28/2020</v>
          </cell>
        </row>
        <row r="1992">
          <cell r="A1992" t="str">
            <v>08/28/2020</v>
          </cell>
        </row>
        <row r="1993">
          <cell r="A1993" t="str">
            <v>08/28/2020</v>
          </cell>
        </row>
        <row r="1994">
          <cell r="A1994" t="str">
            <v>08/28/2020</v>
          </cell>
        </row>
        <row r="1995">
          <cell r="A1995" t="str">
            <v>08/28/2020</v>
          </cell>
        </row>
        <row r="1996">
          <cell r="A1996" t="str">
            <v>08/28/2020</v>
          </cell>
        </row>
        <row r="1997">
          <cell r="A1997" t="str">
            <v>08/28/2020</v>
          </cell>
        </row>
        <row r="1998">
          <cell r="A1998" t="str">
            <v>08/28/2020</v>
          </cell>
        </row>
        <row r="1999">
          <cell r="A1999" t="str">
            <v>08/28/2020</v>
          </cell>
        </row>
        <row r="2000">
          <cell r="A2000" t="str">
            <v>08/28/2020</v>
          </cell>
        </row>
        <row r="2001">
          <cell r="A2001" t="str">
            <v>08/29/2020</v>
          </cell>
        </row>
        <row r="2002">
          <cell r="A2002" t="str">
            <v>08/29/2020</v>
          </cell>
        </row>
        <row r="2003">
          <cell r="A2003" t="str">
            <v>08/30/2020</v>
          </cell>
        </row>
        <row r="2004">
          <cell r="A2004" t="str">
            <v>08/31/2020</v>
          </cell>
        </row>
        <row r="2005">
          <cell r="A2005" t="str">
            <v>08/31/2020</v>
          </cell>
        </row>
        <row r="2006">
          <cell r="A2006" t="str">
            <v>08/31/2020</v>
          </cell>
        </row>
        <row r="2007">
          <cell r="A2007" t="str">
            <v>08/31/2020</v>
          </cell>
        </row>
        <row r="2008">
          <cell r="A2008" t="str">
            <v>08/31/2020</v>
          </cell>
        </row>
        <row r="2009">
          <cell r="A2009" t="str">
            <v>08/31/2020</v>
          </cell>
        </row>
        <row r="2010">
          <cell r="A2010" t="str">
            <v>08/31/2020</v>
          </cell>
        </row>
        <row r="2011">
          <cell r="A2011" t="str">
            <v>08/31/2020</v>
          </cell>
        </row>
        <row r="2012">
          <cell r="A2012" t="str">
            <v>08/31/2020</v>
          </cell>
        </row>
        <row r="2013">
          <cell r="A2013" t="str">
            <v>08/31/2020</v>
          </cell>
        </row>
        <row r="2014">
          <cell r="A2014" t="str">
            <v>09/01/2020</v>
          </cell>
        </row>
        <row r="2015">
          <cell r="A2015" t="str">
            <v>09/01/2020</v>
          </cell>
        </row>
        <row r="2016">
          <cell r="A2016" t="str">
            <v>09/01/2020</v>
          </cell>
        </row>
        <row r="2017">
          <cell r="A2017" t="str">
            <v>09/01/2020</v>
          </cell>
        </row>
        <row r="2018">
          <cell r="A2018" t="str">
            <v>09/01/2020</v>
          </cell>
        </row>
        <row r="2019">
          <cell r="A2019" t="str">
            <v>09/01/2020</v>
          </cell>
        </row>
        <row r="2020">
          <cell r="A2020" t="str">
            <v>09/01/2020</v>
          </cell>
        </row>
        <row r="2021">
          <cell r="A2021" t="str">
            <v>09/01/2020</v>
          </cell>
        </row>
        <row r="2022">
          <cell r="A2022" t="str">
            <v>09/01/2020</v>
          </cell>
        </row>
        <row r="2023">
          <cell r="A2023" t="str">
            <v>09/01/2020</v>
          </cell>
        </row>
        <row r="2024">
          <cell r="A2024" t="str">
            <v>09/01/2020</v>
          </cell>
        </row>
        <row r="2025">
          <cell r="A2025" t="str">
            <v>09/02/2020</v>
          </cell>
        </row>
        <row r="2026">
          <cell r="A2026" t="str">
            <v>09/02/2020</v>
          </cell>
        </row>
        <row r="2027">
          <cell r="A2027" t="str">
            <v>09/02/2020</v>
          </cell>
        </row>
        <row r="2028">
          <cell r="A2028" t="str">
            <v>09/02/2020</v>
          </cell>
        </row>
        <row r="2029">
          <cell r="A2029" t="str">
            <v>09/02/2020</v>
          </cell>
        </row>
        <row r="2030">
          <cell r="A2030" t="str">
            <v>09/02/2020</v>
          </cell>
        </row>
        <row r="2031">
          <cell r="A2031" t="str">
            <v>09/02/2020</v>
          </cell>
        </row>
        <row r="2032">
          <cell r="A2032" t="str">
            <v>09/02/2020</v>
          </cell>
        </row>
        <row r="2033">
          <cell r="A2033" t="str">
            <v>09/02/2020</v>
          </cell>
        </row>
        <row r="2034">
          <cell r="A2034" t="str">
            <v>09/02/2020</v>
          </cell>
        </row>
        <row r="2035">
          <cell r="A2035" t="str">
            <v>09/03/2020</v>
          </cell>
        </row>
        <row r="2036">
          <cell r="A2036" t="str">
            <v>09/03/2020</v>
          </cell>
        </row>
        <row r="2037">
          <cell r="A2037" t="str">
            <v>09/03/2020</v>
          </cell>
        </row>
        <row r="2038">
          <cell r="A2038" t="str">
            <v>09/03/2020</v>
          </cell>
        </row>
        <row r="2039">
          <cell r="A2039" t="str">
            <v>09/03/2020</v>
          </cell>
        </row>
        <row r="2040">
          <cell r="A2040" t="str">
            <v>09/03/2020</v>
          </cell>
        </row>
        <row r="2041">
          <cell r="A2041" t="str">
            <v>09/03/2020</v>
          </cell>
        </row>
        <row r="2042">
          <cell r="A2042" t="str">
            <v>09/03/2020</v>
          </cell>
        </row>
        <row r="2043">
          <cell r="A2043" t="str">
            <v>09/03/2020</v>
          </cell>
        </row>
        <row r="2044">
          <cell r="A2044" t="str">
            <v>09/03/2020</v>
          </cell>
        </row>
        <row r="2045">
          <cell r="A2045" t="str">
            <v>09/03/2020</v>
          </cell>
        </row>
        <row r="2046">
          <cell r="A2046" t="str">
            <v>09/04/2020</v>
          </cell>
        </row>
        <row r="2047">
          <cell r="A2047" t="str">
            <v>09/04/2020</v>
          </cell>
        </row>
        <row r="2048">
          <cell r="A2048" t="str">
            <v>09/04/2020</v>
          </cell>
        </row>
        <row r="2049">
          <cell r="A2049" t="str">
            <v>09/04/2020</v>
          </cell>
        </row>
        <row r="2050">
          <cell r="A2050" t="str">
            <v>09/04/2020</v>
          </cell>
        </row>
        <row r="2051">
          <cell r="A2051" t="str">
            <v>09/04/2020</v>
          </cell>
        </row>
        <row r="2052">
          <cell r="A2052" t="str">
            <v>09/04/2020</v>
          </cell>
        </row>
        <row r="2053">
          <cell r="A2053" t="str">
            <v>09/04/2020</v>
          </cell>
        </row>
        <row r="2054">
          <cell r="A2054" t="str">
            <v>09/04/2020</v>
          </cell>
        </row>
        <row r="2055">
          <cell r="A2055" t="str">
            <v>09/04/2020</v>
          </cell>
        </row>
        <row r="2056">
          <cell r="A2056" t="str">
            <v>09/04/2020</v>
          </cell>
        </row>
        <row r="2057">
          <cell r="A2057" t="str">
            <v>09/04/2020</v>
          </cell>
        </row>
        <row r="2058">
          <cell r="A2058" t="str">
            <v>09/05/2020</v>
          </cell>
        </row>
        <row r="2059">
          <cell r="A2059" t="str">
            <v>09/05/2020</v>
          </cell>
        </row>
        <row r="2060">
          <cell r="A2060" t="str">
            <v>09/06/2020</v>
          </cell>
        </row>
        <row r="2061">
          <cell r="A2061" t="str">
            <v>09/07/2020</v>
          </cell>
        </row>
        <row r="2062">
          <cell r="A2062" t="str">
            <v>09/07/2020</v>
          </cell>
        </row>
        <row r="2063">
          <cell r="A2063" t="str">
            <v>09/07/2020</v>
          </cell>
        </row>
        <row r="2064">
          <cell r="A2064" t="str">
            <v>09/08/2020</v>
          </cell>
        </row>
        <row r="2065">
          <cell r="A2065" t="str">
            <v>09/08/2020</v>
          </cell>
        </row>
        <row r="2066">
          <cell r="A2066" t="str">
            <v>09/08/2020</v>
          </cell>
        </row>
        <row r="2067">
          <cell r="A2067" t="str">
            <v>09/08/2020</v>
          </cell>
        </row>
        <row r="2068">
          <cell r="A2068" t="str">
            <v>09/08/2020</v>
          </cell>
        </row>
        <row r="2069">
          <cell r="A2069" t="str">
            <v>09/08/2020</v>
          </cell>
        </row>
        <row r="2070">
          <cell r="A2070" t="str">
            <v>09/08/2020</v>
          </cell>
        </row>
        <row r="2071">
          <cell r="A2071" t="str">
            <v>09/08/2020</v>
          </cell>
        </row>
        <row r="2072">
          <cell r="A2072" t="str">
            <v>09/08/2020</v>
          </cell>
        </row>
        <row r="2073">
          <cell r="A2073" t="str">
            <v>09/08/2020</v>
          </cell>
        </row>
        <row r="2074">
          <cell r="A2074" t="str">
            <v>09/08/2020</v>
          </cell>
        </row>
        <row r="2075">
          <cell r="A2075" t="str">
            <v>09/09/2020</v>
          </cell>
        </row>
        <row r="2076">
          <cell r="A2076" t="str">
            <v>09/09/2020</v>
          </cell>
        </row>
        <row r="2077">
          <cell r="A2077" t="str">
            <v>09/09/2020</v>
          </cell>
        </row>
        <row r="2078">
          <cell r="A2078" t="str">
            <v>09/09/2020</v>
          </cell>
        </row>
        <row r="2079">
          <cell r="A2079" t="str">
            <v>09/09/2020</v>
          </cell>
        </row>
        <row r="2080">
          <cell r="A2080" t="str">
            <v>09/09/2020</v>
          </cell>
        </row>
        <row r="2081">
          <cell r="A2081" t="str">
            <v>09/09/2020</v>
          </cell>
        </row>
        <row r="2082">
          <cell r="A2082" t="str">
            <v>09/09/2020</v>
          </cell>
        </row>
        <row r="2083">
          <cell r="A2083" t="str">
            <v>09/09/2020</v>
          </cell>
        </row>
        <row r="2084">
          <cell r="A2084" t="str">
            <v>09/09/2020</v>
          </cell>
        </row>
        <row r="2085">
          <cell r="A2085" t="str">
            <v>09/10/2020</v>
          </cell>
        </row>
        <row r="2086">
          <cell r="A2086" t="str">
            <v>09/10/2020</v>
          </cell>
        </row>
        <row r="2087">
          <cell r="A2087" t="str">
            <v>09/10/2020</v>
          </cell>
        </row>
        <row r="2088">
          <cell r="A2088" t="str">
            <v>09/10/2020</v>
          </cell>
        </row>
        <row r="2089">
          <cell r="A2089" t="str">
            <v>09/10/2020</v>
          </cell>
        </row>
        <row r="2090">
          <cell r="A2090" t="str">
            <v>09/10/2020</v>
          </cell>
        </row>
        <row r="2091">
          <cell r="A2091" t="str">
            <v>09/10/2020</v>
          </cell>
        </row>
        <row r="2092">
          <cell r="A2092" t="str">
            <v>09/10/2020</v>
          </cell>
        </row>
        <row r="2093">
          <cell r="A2093" t="str">
            <v>09/10/2020</v>
          </cell>
        </row>
        <row r="2094">
          <cell r="A2094" t="str">
            <v>09/10/2020</v>
          </cell>
        </row>
        <row r="2095">
          <cell r="A2095" t="str">
            <v>09/10/2020</v>
          </cell>
        </row>
        <row r="2096">
          <cell r="A2096" t="str">
            <v>09/10/2020</v>
          </cell>
        </row>
        <row r="2097">
          <cell r="A2097" t="str">
            <v>09/11/2020</v>
          </cell>
        </row>
        <row r="2098">
          <cell r="A2098" t="str">
            <v>09/11/2020</v>
          </cell>
        </row>
        <row r="2099">
          <cell r="A2099" t="str">
            <v>09/11/2020</v>
          </cell>
        </row>
        <row r="2100">
          <cell r="A2100" t="str">
            <v>09/11/2020</v>
          </cell>
        </row>
        <row r="2101">
          <cell r="A2101" t="str">
            <v>09/11/2020</v>
          </cell>
        </row>
        <row r="2102">
          <cell r="A2102" t="str">
            <v>09/11/2020</v>
          </cell>
        </row>
        <row r="2103">
          <cell r="A2103" t="str">
            <v>09/11/2020</v>
          </cell>
        </row>
        <row r="2104">
          <cell r="A2104" t="str">
            <v>09/11/2020</v>
          </cell>
        </row>
        <row r="2105">
          <cell r="A2105" t="str">
            <v>09/11/2020</v>
          </cell>
        </row>
        <row r="2106">
          <cell r="A2106" t="str">
            <v>09/11/2020</v>
          </cell>
        </row>
        <row r="2107">
          <cell r="A2107" t="str">
            <v>09/12/2020</v>
          </cell>
        </row>
        <row r="2108">
          <cell r="A2108" t="str">
            <v>09/12/2020</v>
          </cell>
        </row>
        <row r="2109">
          <cell r="A2109" t="str">
            <v>09/13/2020</v>
          </cell>
        </row>
        <row r="2110">
          <cell r="A2110" t="str">
            <v>09/14/2020</v>
          </cell>
        </row>
        <row r="2111">
          <cell r="A2111" t="str">
            <v>09/14/2020</v>
          </cell>
        </row>
        <row r="2112">
          <cell r="A2112" t="str">
            <v>09/14/2020</v>
          </cell>
        </row>
        <row r="2113">
          <cell r="A2113" t="str">
            <v>09/14/2020</v>
          </cell>
        </row>
        <row r="2114">
          <cell r="A2114" t="str">
            <v>09/14/2020</v>
          </cell>
        </row>
        <row r="2115">
          <cell r="A2115" t="str">
            <v>09/14/2020</v>
          </cell>
        </row>
        <row r="2116">
          <cell r="A2116" t="str">
            <v>09/14/2020</v>
          </cell>
        </row>
        <row r="2117">
          <cell r="A2117" t="str">
            <v>09/14/2020</v>
          </cell>
        </row>
        <row r="2118">
          <cell r="A2118" t="str">
            <v>09/14/2020</v>
          </cell>
        </row>
        <row r="2119">
          <cell r="A2119" t="str">
            <v>09/14/2020</v>
          </cell>
        </row>
        <row r="2120">
          <cell r="A2120" t="str">
            <v>09/14/2020</v>
          </cell>
        </row>
        <row r="2121">
          <cell r="A2121" t="str">
            <v>09/15/2020</v>
          </cell>
        </row>
        <row r="2122">
          <cell r="A2122" t="str">
            <v>09/15/2020</v>
          </cell>
        </row>
        <row r="2123">
          <cell r="A2123" t="str">
            <v>09/15/2020</v>
          </cell>
        </row>
        <row r="2124">
          <cell r="A2124" t="str">
            <v>09/15/2020</v>
          </cell>
        </row>
        <row r="2125">
          <cell r="A2125" t="str">
            <v>09/15/2020</v>
          </cell>
        </row>
        <row r="2126">
          <cell r="A2126" t="str">
            <v>09/15/2020</v>
          </cell>
        </row>
        <row r="2127">
          <cell r="A2127" t="str">
            <v>09/15/2020</v>
          </cell>
        </row>
        <row r="2128">
          <cell r="A2128" t="str">
            <v>09/15/2020</v>
          </cell>
        </row>
        <row r="2129">
          <cell r="A2129" t="str">
            <v>09/15/2020</v>
          </cell>
        </row>
        <row r="2130">
          <cell r="A2130" t="str">
            <v>09/15/2020</v>
          </cell>
        </row>
        <row r="2131">
          <cell r="A2131" t="str">
            <v>09/16/2020</v>
          </cell>
        </row>
        <row r="2132">
          <cell r="A2132" t="str">
            <v>09/16/2020</v>
          </cell>
        </row>
        <row r="2133">
          <cell r="A2133" t="str">
            <v>09/16/2020</v>
          </cell>
        </row>
        <row r="2134">
          <cell r="A2134" t="str">
            <v>09/16/2020</v>
          </cell>
        </row>
        <row r="2135">
          <cell r="A2135" t="str">
            <v>09/16/2020</v>
          </cell>
        </row>
        <row r="2136">
          <cell r="A2136" t="str">
            <v>09/16/2020</v>
          </cell>
        </row>
        <row r="2137">
          <cell r="A2137" t="str">
            <v>09/16/2020</v>
          </cell>
        </row>
        <row r="2138">
          <cell r="A2138" t="str">
            <v>09/16/2020</v>
          </cell>
        </row>
        <row r="2139">
          <cell r="A2139" t="str">
            <v>09/16/2020</v>
          </cell>
        </row>
        <row r="2140">
          <cell r="A2140" t="str">
            <v>09/16/2020</v>
          </cell>
        </row>
        <row r="2141">
          <cell r="A2141" t="str">
            <v>09/16/2020</v>
          </cell>
        </row>
        <row r="2142">
          <cell r="A2142" t="str">
            <v>09/17/2020</v>
          </cell>
        </row>
        <row r="2143">
          <cell r="A2143" t="str">
            <v>09/17/2020</v>
          </cell>
        </row>
        <row r="2144">
          <cell r="A2144" t="str">
            <v>09/17/2020</v>
          </cell>
        </row>
        <row r="2145">
          <cell r="A2145" t="str">
            <v>09/17/2020</v>
          </cell>
        </row>
        <row r="2146">
          <cell r="A2146" t="str">
            <v>09/17/2020</v>
          </cell>
        </row>
        <row r="2147">
          <cell r="A2147" t="str">
            <v>09/17/2020</v>
          </cell>
        </row>
        <row r="2148">
          <cell r="A2148" t="str">
            <v>09/17/2020</v>
          </cell>
        </row>
        <row r="2149">
          <cell r="A2149" t="str">
            <v>09/17/2020</v>
          </cell>
        </row>
        <row r="2150">
          <cell r="A2150" t="str">
            <v>09/17/2020</v>
          </cell>
        </row>
        <row r="2151">
          <cell r="A2151" t="str">
            <v>09/18/2020</v>
          </cell>
        </row>
        <row r="2152">
          <cell r="A2152" t="str">
            <v>09/18/2020</v>
          </cell>
        </row>
        <row r="2153">
          <cell r="A2153" t="str">
            <v>09/18/2020</v>
          </cell>
        </row>
        <row r="2154">
          <cell r="A2154" t="str">
            <v>09/18/2020</v>
          </cell>
        </row>
        <row r="2155">
          <cell r="A2155" t="str">
            <v>09/18/2020</v>
          </cell>
        </row>
        <row r="2156">
          <cell r="A2156" t="str">
            <v>09/18/2020</v>
          </cell>
        </row>
        <row r="2157">
          <cell r="A2157" t="str">
            <v>09/18/2020</v>
          </cell>
        </row>
        <row r="2158">
          <cell r="A2158" t="str">
            <v>09/18/2020</v>
          </cell>
        </row>
        <row r="2159">
          <cell r="A2159" t="str">
            <v>09/18/2020</v>
          </cell>
        </row>
        <row r="2160">
          <cell r="A2160" t="str">
            <v>09/18/2020</v>
          </cell>
        </row>
        <row r="2161">
          <cell r="A2161" t="str">
            <v>09/18/2020</v>
          </cell>
        </row>
        <row r="2162">
          <cell r="A2162" t="str">
            <v>09/19/2020</v>
          </cell>
        </row>
        <row r="2163">
          <cell r="A2163" t="str">
            <v>09/19/2020</v>
          </cell>
        </row>
        <row r="2164">
          <cell r="A2164" t="str">
            <v>09/20/2020</v>
          </cell>
        </row>
        <row r="2165">
          <cell r="A2165" t="str">
            <v>09/21/2020</v>
          </cell>
        </row>
        <row r="2166">
          <cell r="A2166" t="str">
            <v>09/21/2020</v>
          </cell>
        </row>
        <row r="2167">
          <cell r="A2167" t="str">
            <v>09/21/2020</v>
          </cell>
        </row>
        <row r="2168">
          <cell r="A2168" t="str">
            <v>09/21/2020</v>
          </cell>
        </row>
        <row r="2169">
          <cell r="A2169" t="str">
            <v>09/21/2020</v>
          </cell>
        </row>
        <row r="2170">
          <cell r="A2170" t="str">
            <v>09/21/2020</v>
          </cell>
        </row>
        <row r="2171">
          <cell r="A2171" t="str">
            <v>09/21/2020</v>
          </cell>
        </row>
        <row r="2172">
          <cell r="A2172" t="str">
            <v>09/21/2020</v>
          </cell>
        </row>
        <row r="2173">
          <cell r="A2173" t="str">
            <v>09/21/2020</v>
          </cell>
        </row>
        <row r="2174">
          <cell r="A2174" t="str">
            <v>09/21/2020</v>
          </cell>
        </row>
        <row r="2175">
          <cell r="A2175" t="str">
            <v>09/22/2020</v>
          </cell>
        </row>
        <row r="2176">
          <cell r="A2176" t="str">
            <v>09/22/2020</v>
          </cell>
        </row>
        <row r="2177">
          <cell r="A2177" t="str">
            <v>09/22/2020</v>
          </cell>
        </row>
        <row r="2178">
          <cell r="A2178" t="str">
            <v>09/22/2020</v>
          </cell>
        </row>
        <row r="2179">
          <cell r="A2179" t="str">
            <v>09/22/2020</v>
          </cell>
        </row>
        <row r="2180">
          <cell r="A2180" t="str">
            <v>09/22/2020</v>
          </cell>
        </row>
        <row r="2181">
          <cell r="A2181" t="str">
            <v>09/22/2020</v>
          </cell>
        </row>
        <row r="2182">
          <cell r="A2182" t="str">
            <v>09/22/2020</v>
          </cell>
        </row>
        <row r="2183">
          <cell r="A2183" t="str">
            <v>09/22/2020</v>
          </cell>
        </row>
        <row r="2184">
          <cell r="A2184" t="str">
            <v>09/22/2020</v>
          </cell>
        </row>
        <row r="2185">
          <cell r="A2185" t="str">
            <v>09/23/2020</v>
          </cell>
        </row>
        <row r="2186">
          <cell r="A2186" t="str">
            <v>09/23/2020</v>
          </cell>
        </row>
        <row r="2187">
          <cell r="A2187" t="str">
            <v>09/23/2020</v>
          </cell>
        </row>
        <row r="2188">
          <cell r="A2188" t="str">
            <v>09/23/2020</v>
          </cell>
        </row>
        <row r="2189">
          <cell r="A2189" t="str">
            <v>09/23/2020</v>
          </cell>
        </row>
        <row r="2190">
          <cell r="A2190" t="str">
            <v>09/23/2020</v>
          </cell>
        </row>
        <row r="2191">
          <cell r="A2191" t="str">
            <v>09/23/2020</v>
          </cell>
        </row>
        <row r="2192">
          <cell r="A2192" t="str">
            <v>09/23/2020</v>
          </cell>
        </row>
        <row r="2193">
          <cell r="A2193" t="str">
            <v>09/23/2020</v>
          </cell>
        </row>
        <row r="2194">
          <cell r="A2194" t="str">
            <v>09/23/2020</v>
          </cell>
        </row>
        <row r="2195">
          <cell r="A2195" t="str">
            <v>09/24/2020</v>
          </cell>
        </row>
        <row r="2196">
          <cell r="A2196" t="str">
            <v>09/24/2020</v>
          </cell>
        </row>
        <row r="2197">
          <cell r="A2197" t="str">
            <v>09/24/2020</v>
          </cell>
        </row>
        <row r="2198">
          <cell r="A2198" t="str">
            <v>09/24/2020</v>
          </cell>
        </row>
        <row r="2199">
          <cell r="A2199" t="str">
            <v>09/24/2020</v>
          </cell>
        </row>
        <row r="2200">
          <cell r="A2200" t="str">
            <v>09/24/2020</v>
          </cell>
        </row>
        <row r="2201">
          <cell r="A2201" t="str">
            <v>09/24/2020</v>
          </cell>
        </row>
        <row r="2202">
          <cell r="A2202" t="str">
            <v>09/24/2020</v>
          </cell>
        </row>
        <row r="2203">
          <cell r="A2203" t="str">
            <v>09/24/2020</v>
          </cell>
        </row>
        <row r="2204">
          <cell r="A2204" t="str">
            <v>09/24/2020</v>
          </cell>
        </row>
        <row r="2205">
          <cell r="A2205" t="str">
            <v>09/25/2020</v>
          </cell>
        </row>
        <row r="2206">
          <cell r="A2206" t="str">
            <v>09/25/2020</v>
          </cell>
        </row>
        <row r="2207">
          <cell r="A2207" t="str">
            <v>09/25/2020</v>
          </cell>
        </row>
        <row r="2208">
          <cell r="A2208" t="str">
            <v>09/25/2020</v>
          </cell>
        </row>
        <row r="2209">
          <cell r="A2209" t="str">
            <v>09/25/2020</v>
          </cell>
        </row>
        <row r="2210">
          <cell r="A2210" t="str">
            <v>09/25/2020</v>
          </cell>
        </row>
        <row r="2211">
          <cell r="A2211" t="str">
            <v>09/25/2020</v>
          </cell>
        </row>
        <row r="2212">
          <cell r="A2212" t="str">
            <v>09/25/2020</v>
          </cell>
        </row>
        <row r="2213">
          <cell r="A2213" t="str">
            <v>09/25/2020</v>
          </cell>
        </row>
        <row r="2214">
          <cell r="A2214" t="str">
            <v>09/25/2020</v>
          </cell>
        </row>
        <row r="2215">
          <cell r="A2215" t="str">
            <v>09/26/2020</v>
          </cell>
        </row>
        <row r="2216">
          <cell r="A2216" t="str">
            <v>09/26/2020</v>
          </cell>
        </row>
        <row r="2217">
          <cell r="A2217" t="str">
            <v>09/27/2020</v>
          </cell>
        </row>
        <row r="2218">
          <cell r="A2218" t="str">
            <v>09/28/2020</v>
          </cell>
        </row>
        <row r="2219">
          <cell r="A2219" t="str">
            <v>09/28/2020</v>
          </cell>
        </row>
        <row r="2220">
          <cell r="A2220" t="str">
            <v>09/28/2020</v>
          </cell>
        </row>
        <row r="2221">
          <cell r="A2221" t="str">
            <v>09/28/2020</v>
          </cell>
        </row>
        <row r="2222">
          <cell r="A2222" t="str">
            <v>09/28/2020</v>
          </cell>
        </row>
        <row r="2223">
          <cell r="A2223" t="str">
            <v>09/28/2020</v>
          </cell>
        </row>
        <row r="2224">
          <cell r="A2224" t="str">
            <v>09/28/2020</v>
          </cell>
        </row>
        <row r="2225">
          <cell r="A2225" t="str">
            <v>09/28/2020</v>
          </cell>
        </row>
        <row r="2226">
          <cell r="A2226" t="str">
            <v>09/28/2020</v>
          </cell>
        </row>
        <row r="2227">
          <cell r="A2227" t="str">
            <v>09/28/2020</v>
          </cell>
        </row>
        <row r="2228">
          <cell r="A2228" t="str">
            <v>09/29/2020</v>
          </cell>
        </row>
        <row r="2229">
          <cell r="A2229" t="str">
            <v>09/29/2020</v>
          </cell>
        </row>
        <row r="2230">
          <cell r="A2230" t="str">
            <v>09/29/2020</v>
          </cell>
        </row>
        <row r="2231">
          <cell r="A2231" t="str">
            <v>09/29/2020</v>
          </cell>
        </row>
        <row r="2232">
          <cell r="A2232" t="str">
            <v>09/29/2020</v>
          </cell>
        </row>
        <row r="2233">
          <cell r="A2233" t="str">
            <v>09/29/2020</v>
          </cell>
        </row>
        <row r="2234">
          <cell r="A2234" t="str">
            <v>09/29/2020</v>
          </cell>
        </row>
        <row r="2235">
          <cell r="A2235" t="str">
            <v>09/29/2020</v>
          </cell>
        </row>
        <row r="2236">
          <cell r="A2236" t="str">
            <v>09/29/2020</v>
          </cell>
        </row>
        <row r="2237">
          <cell r="A2237" t="str">
            <v>09/29/2020</v>
          </cell>
        </row>
        <row r="2238">
          <cell r="A2238" t="str">
            <v>09/30/2020</v>
          </cell>
        </row>
        <row r="2239">
          <cell r="A2239" t="str">
            <v>09/30/2020</v>
          </cell>
        </row>
        <row r="2240">
          <cell r="A2240" t="str">
            <v>09/30/2020</v>
          </cell>
        </row>
        <row r="2241">
          <cell r="A2241" t="str">
            <v>09/30/2020</v>
          </cell>
        </row>
        <row r="2242">
          <cell r="A2242" t="str">
            <v>09/30/2020</v>
          </cell>
        </row>
        <row r="2243">
          <cell r="A2243" t="str">
            <v>09/30/2020</v>
          </cell>
        </row>
        <row r="2244">
          <cell r="A2244" t="str">
            <v>09/30/2020</v>
          </cell>
        </row>
        <row r="2245">
          <cell r="A2245" t="str">
            <v>09/30/2020</v>
          </cell>
        </row>
        <row r="2246">
          <cell r="A2246" t="str">
            <v>09/30/2020</v>
          </cell>
        </row>
        <row r="2247">
          <cell r="A2247" t="str">
            <v>09/30/2020</v>
          </cell>
        </row>
        <row r="2248">
          <cell r="A2248" t="str">
            <v>10/01/2020</v>
          </cell>
        </row>
        <row r="2249">
          <cell r="A2249" t="str">
            <v>10/01/2020</v>
          </cell>
        </row>
        <row r="2250">
          <cell r="A2250" t="str">
            <v>10/01/2020</v>
          </cell>
        </row>
        <row r="2251">
          <cell r="A2251" t="str">
            <v>10/01/2020</v>
          </cell>
        </row>
        <row r="2252">
          <cell r="A2252" t="str">
            <v>10/01/2020</v>
          </cell>
        </row>
        <row r="2253">
          <cell r="A2253" t="str">
            <v>10/01/2020</v>
          </cell>
        </row>
        <row r="2254">
          <cell r="A2254" t="str">
            <v>10/01/2020</v>
          </cell>
        </row>
        <row r="2255">
          <cell r="A2255" t="str">
            <v>10/01/2020</v>
          </cell>
        </row>
        <row r="2256">
          <cell r="A2256" t="str">
            <v>10/01/2020</v>
          </cell>
        </row>
        <row r="2257">
          <cell r="A2257" t="str">
            <v>10/01/2020</v>
          </cell>
        </row>
        <row r="2258">
          <cell r="A2258" t="str">
            <v>10/01/2020</v>
          </cell>
        </row>
        <row r="2259">
          <cell r="A2259" t="str">
            <v>10/01/2020</v>
          </cell>
        </row>
        <row r="2260">
          <cell r="A2260" t="str">
            <v>10/01/2020</v>
          </cell>
        </row>
        <row r="2261">
          <cell r="A2261" t="str">
            <v>10/01/2020</v>
          </cell>
        </row>
        <row r="2262">
          <cell r="A2262" t="str">
            <v>10/02/2020</v>
          </cell>
        </row>
        <row r="2263">
          <cell r="A2263" t="str">
            <v>10/02/2020</v>
          </cell>
        </row>
        <row r="2264">
          <cell r="A2264" t="str">
            <v>10/02/2020</v>
          </cell>
        </row>
        <row r="2265">
          <cell r="A2265" t="str">
            <v>10/02/2020</v>
          </cell>
        </row>
        <row r="2266">
          <cell r="A2266" t="str">
            <v>10/02/2020</v>
          </cell>
        </row>
        <row r="2267">
          <cell r="A2267" t="str">
            <v>10/02/2020</v>
          </cell>
        </row>
        <row r="2268">
          <cell r="A2268" t="str">
            <v>10/02/2020</v>
          </cell>
        </row>
        <row r="2269">
          <cell r="A2269" t="str">
            <v>10/02/2020</v>
          </cell>
        </row>
        <row r="2270">
          <cell r="A2270" t="str">
            <v>10/02/2020</v>
          </cell>
        </row>
        <row r="2271">
          <cell r="A2271" t="str">
            <v>10/02/2020</v>
          </cell>
        </row>
        <row r="2272">
          <cell r="A2272" t="str">
            <v>10/03/2020</v>
          </cell>
        </row>
        <row r="2273">
          <cell r="A2273" t="str">
            <v>10/03/2020</v>
          </cell>
        </row>
        <row r="2274">
          <cell r="A2274" t="str">
            <v>10/04/2020</v>
          </cell>
        </row>
        <row r="2275">
          <cell r="A2275" t="str">
            <v>10/05/2020</v>
          </cell>
        </row>
        <row r="2276">
          <cell r="A2276" t="str">
            <v>10/05/2020</v>
          </cell>
        </row>
        <row r="2277">
          <cell r="A2277" t="str">
            <v>10/05/2020</v>
          </cell>
        </row>
        <row r="2278">
          <cell r="A2278" t="str">
            <v>10/05/2020</v>
          </cell>
        </row>
        <row r="2279">
          <cell r="A2279" t="str">
            <v>10/05/2020</v>
          </cell>
        </row>
        <row r="2280">
          <cell r="A2280" t="str">
            <v>10/05/2020</v>
          </cell>
        </row>
        <row r="2281">
          <cell r="A2281" t="str">
            <v>10/05/2020</v>
          </cell>
        </row>
        <row r="2282">
          <cell r="A2282" t="str">
            <v>10/05/2020</v>
          </cell>
        </row>
        <row r="2283">
          <cell r="A2283" t="str">
            <v>10/05/2020</v>
          </cell>
        </row>
        <row r="2284">
          <cell r="A2284" t="str">
            <v>10/05/2020</v>
          </cell>
        </row>
        <row r="2285">
          <cell r="A2285" t="str">
            <v>10/05/2020</v>
          </cell>
        </row>
        <row r="2286">
          <cell r="A2286" t="str">
            <v>10/06/2020</v>
          </cell>
        </row>
        <row r="2287">
          <cell r="A2287" t="str">
            <v>10/06/2020</v>
          </cell>
        </row>
        <row r="2288">
          <cell r="A2288" t="str">
            <v>10/06/2020</v>
          </cell>
        </row>
        <row r="2289">
          <cell r="A2289" t="str">
            <v>10/06/2020</v>
          </cell>
        </row>
        <row r="2290">
          <cell r="A2290" t="str">
            <v>10/06/2020</v>
          </cell>
        </row>
        <row r="2291">
          <cell r="A2291" t="str">
            <v>10/06/2020</v>
          </cell>
        </row>
        <row r="2292">
          <cell r="A2292" t="str">
            <v>10/06/2020</v>
          </cell>
        </row>
        <row r="2293">
          <cell r="A2293" t="str">
            <v>10/06/2020</v>
          </cell>
        </row>
        <row r="2294">
          <cell r="A2294" t="str">
            <v>10/06/2020</v>
          </cell>
        </row>
        <row r="2295">
          <cell r="A2295" t="str">
            <v>10/06/2020</v>
          </cell>
        </row>
        <row r="2296">
          <cell r="A2296" t="str">
            <v>10/06/2020</v>
          </cell>
        </row>
        <row r="2297">
          <cell r="A2297" t="str">
            <v>10/07/2020</v>
          </cell>
        </row>
        <row r="2298">
          <cell r="A2298" t="str">
            <v>10/07/2020</v>
          </cell>
        </row>
        <row r="2299">
          <cell r="A2299" t="str">
            <v>10/07/2020</v>
          </cell>
        </row>
        <row r="2300">
          <cell r="A2300" t="str">
            <v>10/07/2020</v>
          </cell>
        </row>
        <row r="2301">
          <cell r="A2301" t="str">
            <v>10/07/2020</v>
          </cell>
        </row>
        <row r="2302">
          <cell r="A2302" t="str">
            <v>10/07/2020</v>
          </cell>
        </row>
        <row r="2303">
          <cell r="A2303" t="str">
            <v>10/07/2020</v>
          </cell>
        </row>
        <row r="2304">
          <cell r="A2304" t="str">
            <v>10/07/2020</v>
          </cell>
        </row>
        <row r="2305">
          <cell r="A2305" t="str">
            <v>10/07/2020</v>
          </cell>
        </row>
        <row r="2306">
          <cell r="A2306" t="str">
            <v>10/07/2020</v>
          </cell>
        </row>
        <row r="2307">
          <cell r="A2307" t="str">
            <v>10/07/2020</v>
          </cell>
        </row>
        <row r="2308">
          <cell r="A2308" t="str">
            <v>10/08/2020</v>
          </cell>
        </row>
        <row r="2309">
          <cell r="A2309" t="str">
            <v>10/08/2020</v>
          </cell>
        </row>
        <row r="2310">
          <cell r="A2310" t="str">
            <v>10/08/2020</v>
          </cell>
        </row>
        <row r="2311">
          <cell r="A2311" t="str">
            <v>10/08/2020</v>
          </cell>
        </row>
        <row r="2312">
          <cell r="A2312" t="str">
            <v>10/08/2020</v>
          </cell>
        </row>
        <row r="2313">
          <cell r="A2313" t="str">
            <v>10/08/2020</v>
          </cell>
        </row>
        <row r="2314">
          <cell r="A2314" t="str">
            <v>10/08/2020</v>
          </cell>
        </row>
        <row r="2315">
          <cell r="A2315" t="str">
            <v>10/08/2020</v>
          </cell>
        </row>
        <row r="2316">
          <cell r="A2316" t="str">
            <v>10/08/2020</v>
          </cell>
        </row>
        <row r="2317">
          <cell r="A2317" t="str">
            <v>10/08/2020</v>
          </cell>
        </row>
        <row r="2318">
          <cell r="A2318" t="str">
            <v>10/08/2020</v>
          </cell>
        </row>
        <row r="2319">
          <cell r="A2319" t="str">
            <v>10/08/2020</v>
          </cell>
        </row>
        <row r="2320">
          <cell r="A2320" t="str">
            <v>10/09/2020</v>
          </cell>
        </row>
        <row r="2321">
          <cell r="A2321" t="str">
            <v>10/09/2020</v>
          </cell>
        </row>
        <row r="2322">
          <cell r="A2322" t="str">
            <v>10/09/2020</v>
          </cell>
        </row>
        <row r="2323">
          <cell r="A2323" t="str">
            <v>10/09/2020</v>
          </cell>
        </row>
        <row r="2324">
          <cell r="A2324" t="str">
            <v>10/09/2020</v>
          </cell>
        </row>
        <row r="2325">
          <cell r="A2325" t="str">
            <v>10/09/2020</v>
          </cell>
        </row>
        <row r="2326">
          <cell r="A2326" t="str">
            <v>10/09/2020</v>
          </cell>
        </row>
        <row r="2327">
          <cell r="A2327" t="str">
            <v>10/09/2020</v>
          </cell>
        </row>
        <row r="2328">
          <cell r="A2328" t="str">
            <v>10/09/2020</v>
          </cell>
        </row>
        <row r="2329">
          <cell r="A2329" t="str">
            <v>10/09/2020</v>
          </cell>
        </row>
        <row r="2330">
          <cell r="A2330" t="str">
            <v>10/10/2020</v>
          </cell>
        </row>
        <row r="2331">
          <cell r="A2331" t="str">
            <v>10/10/2020</v>
          </cell>
        </row>
        <row r="2332">
          <cell r="A2332" t="str">
            <v>10/11/2020</v>
          </cell>
        </row>
        <row r="2333">
          <cell r="A2333" t="str">
            <v>10/12/2020</v>
          </cell>
        </row>
        <row r="2334">
          <cell r="A2334" t="str">
            <v>10/12/2020</v>
          </cell>
        </row>
        <row r="2335">
          <cell r="A2335" t="str">
            <v>10/12/2020</v>
          </cell>
        </row>
        <row r="2336">
          <cell r="A2336" t="str">
            <v>10/12/2020</v>
          </cell>
        </row>
        <row r="2337">
          <cell r="A2337" t="str">
            <v>10/12/2020</v>
          </cell>
        </row>
        <row r="2338">
          <cell r="A2338" t="str">
            <v>10/13/2020</v>
          </cell>
        </row>
        <row r="2339">
          <cell r="A2339" t="str">
            <v>10/13/2020</v>
          </cell>
        </row>
        <row r="2340">
          <cell r="A2340" t="str">
            <v>10/13/2020</v>
          </cell>
        </row>
        <row r="2341">
          <cell r="A2341" t="str">
            <v>10/13/2020</v>
          </cell>
        </row>
        <row r="2342">
          <cell r="A2342" t="str">
            <v>10/13/2020</v>
          </cell>
        </row>
        <row r="2343">
          <cell r="A2343" t="str">
            <v>10/13/2020</v>
          </cell>
        </row>
        <row r="2344">
          <cell r="A2344" t="str">
            <v>10/13/2020</v>
          </cell>
        </row>
        <row r="2345">
          <cell r="A2345" t="str">
            <v>10/13/2020</v>
          </cell>
        </row>
        <row r="2346">
          <cell r="A2346" t="str">
            <v>10/13/2020</v>
          </cell>
        </row>
        <row r="2347">
          <cell r="A2347" t="str">
            <v>10/14/2020</v>
          </cell>
        </row>
        <row r="2348">
          <cell r="A2348" t="str">
            <v>10/14/2020</v>
          </cell>
        </row>
        <row r="2349">
          <cell r="A2349" t="str">
            <v>10/14/2020</v>
          </cell>
        </row>
        <row r="2350">
          <cell r="A2350" t="str">
            <v>10/14/2020</v>
          </cell>
        </row>
        <row r="2351">
          <cell r="A2351" t="str">
            <v>10/14/2020</v>
          </cell>
        </row>
        <row r="2352">
          <cell r="A2352" t="str">
            <v>10/14/2020</v>
          </cell>
        </row>
        <row r="2353">
          <cell r="A2353" t="str">
            <v>10/14/2020</v>
          </cell>
        </row>
        <row r="2354">
          <cell r="A2354" t="str">
            <v>10/14/2020</v>
          </cell>
        </row>
        <row r="2355">
          <cell r="A2355" t="str">
            <v>10/14/2020</v>
          </cell>
        </row>
        <row r="2356">
          <cell r="A2356" t="str">
            <v>10/14/2020</v>
          </cell>
        </row>
        <row r="2357">
          <cell r="A2357" t="str">
            <v>10/14/2020</v>
          </cell>
        </row>
        <row r="2358">
          <cell r="A2358" t="str">
            <v>10/15/2020</v>
          </cell>
        </row>
        <row r="2359">
          <cell r="A2359" t="str">
            <v>10/15/2020</v>
          </cell>
        </row>
        <row r="2360">
          <cell r="A2360" t="str">
            <v>10/15/2020</v>
          </cell>
        </row>
        <row r="2361">
          <cell r="A2361" t="str">
            <v>10/15/2020</v>
          </cell>
        </row>
        <row r="2362">
          <cell r="A2362" t="str">
            <v>10/15/2020</v>
          </cell>
        </row>
        <row r="2363">
          <cell r="A2363" t="str">
            <v>10/15/2020</v>
          </cell>
        </row>
        <row r="2364">
          <cell r="A2364" t="str">
            <v>10/15/2020</v>
          </cell>
        </row>
        <row r="2365">
          <cell r="A2365" t="str">
            <v>10/15/2020</v>
          </cell>
        </row>
        <row r="2366">
          <cell r="A2366" t="str">
            <v>10/15/2020</v>
          </cell>
        </row>
        <row r="2367">
          <cell r="A2367" t="str">
            <v>10/15/2020</v>
          </cell>
        </row>
        <row r="2368">
          <cell r="A2368" t="str">
            <v>10/15/2020</v>
          </cell>
        </row>
        <row r="2369">
          <cell r="A2369" t="str">
            <v>10/15/2020</v>
          </cell>
        </row>
        <row r="2370">
          <cell r="A2370" t="str">
            <v>10/16/2020</v>
          </cell>
        </row>
        <row r="2371">
          <cell r="A2371" t="str">
            <v>10/16/2020</v>
          </cell>
        </row>
        <row r="2372">
          <cell r="A2372" t="str">
            <v>10/16/2020</v>
          </cell>
        </row>
        <row r="2373">
          <cell r="A2373" t="str">
            <v>10/16/2020</v>
          </cell>
        </row>
        <row r="2374">
          <cell r="A2374" t="str">
            <v>10/16/2020</v>
          </cell>
        </row>
        <row r="2375">
          <cell r="A2375" t="str">
            <v>10/16/2020</v>
          </cell>
        </row>
        <row r="2376">
          <cell r="A2376" t="str">
            <v>10/16/2020</v>
          </cell>
        </row>
        <row r="2377">
          <cell r="A2377" t="str">
            <v>10/16/2020</v>
          </cell>
        </row>
        <row r="2378">
          <cell r="A2378" t="str">
            <v>10/16/2020</v>
          </cell>
        </row>
        <row r="2379">
          <cell r="A2379" t="str">
            <v>10/16/2020</v>
          </cell>
        </row>
        <row r="2380">
          <cell r="A2380" t="str">
            <v>10/16/2020</v>
          </cell>
        </row>
        <row r="2381">
          <cell r="A2381" t="str">
            <v>10/16/2020</v>
          </cell>
        </row>
        <row r="2382">
          <cell r="A2382" t="str">
            <v>10/17/2020</v>
          </cell>
        </row>
        <row r="2383">
          <cell r="A2383" t="str">
            <v>10/17/2020</v>
          </cell>
        </row>
        <row r="2384">
          <cell r="A2384" t="str">
            <v>10/18/2020</v>
          </cell>
        </row>
        <row r="2385">
          <cell r="A2385" t="str">
            <v>10/19/2020</v>
          </cell>
        </row>
        <row r="2386">
          <cell r="A2386" t="str">
            <v>10/19/2020</v>
          </cell>
        </row>
        <row r="2387">
          <cell r="A2387" t="str">
            <v>10/19/2020</v>
          </cell>
        </row>
        <row r="2388">
          <cell r="A2388" t="str">
            <v>10/19/2020</v>
          </cell>
        </row>
        <row r="2389">
          <cell r="A2389" t="str">
            <v>10/19/2020</v>
          </cell>
        </row>
        <row r="2390">
          <cell r="A2390" t="str">
            <v>10/19/2020</v>
          </cell>
        </row>
        <row r="2391">
          <cell r="A2391" t="str">
            <v>10/19/2020</v>
          </cell>
        </row>
        <row r="2392">
          <cell r="A2392" t="str">
            <v>10/19/2020</v>
          </cell>
        </row>
        <row r="2393">
          <cell r="A2393" t="str">
            <v>10/19/2020</v>
          </cell>
        </row>
        <row r="2394">
          <cell r="A2394" t="str">
            <v>10/19/2020</v>
          </cell>
        </row>
        <row r="2395">
          <cell r="A2395" t="str">
            <v>10/19/2020</v>
          </cell>
        </row>
        <row r="2396">
          <cell r="A2396" t="str">
            <v>10/20/2020</v>
          </cell>
        </row>
        <row r="2397">
          <cell r="A2397" t="str">
            <v>10/20/2020</v>
          </cell>
        </row>
        <row r="2398">
          <cell r="A2398" t="str">
            <v>10/20/2020</v>
          </cell>
        </row>
        <row r="2399">
          <cell r="A2399" t="str">
            <v>10/20/2020</v>
          </cell>
        </row>
        <row r="2400">
          <cell r="A2400" t="str">
            <v>10/20/2020</v>
          </cell>
        </row>
        <row r="2401">
          <cell r="A2401" t="str">
            <v>10/20/2020</v>
          </cell>
        </row>
        <row r="2402">
          <cell r="A2402" t="str">
            <v>10/20/2020</v>
          </cell>
        </row>
        <row r="2403">
          <cell r="A2403" t="str">
            <v>10/20/2020</v>
          </cell>
        </row>
        <row r="2404">
          <cell r="A2404" t="str">
            <v>10/20/2020</v>
          </cell>
        </row>
        <row r="2405">
          <cell r="A2405" t="str">
            <v>10/20/2020</v>
          </cell>
        </row>
        <row r="2406">
          <cell r="A2406" t="str">
            <v>10/20/2020</v>
          </cell>
        </row>
        <row r="2407">
          <cell r="A2407" t="str">
            <v>10/21/2020</v>
          </cell>
        </row>
        <row r="2408">
          <cell r="A2408" t="str">
            <v>10/21/2020</v>
          </cell>
        </row>
        <row r="2409">
          <cell r="A2409" t="str">
            <v>10/21/2020</v>
          </cell>
        </row>
        <row r="2410">
          <cell r="A2410" t="str">
            <v>10/21/2020</v>
          </cell>
        </row>
        <row r="2411">
          <cell r="A2411" t="str">
            <v>10/21/2020</v>
          </cell>
        </row>
        <row r="2412">
          <cell r="A2412" t="str">
            <v>10/21/2020</v>
          </cell>
        </row>
        <row r="2413">
          <cell r="A2413" t="str">
            <v>10/21/2020</v>
          </cell>
        </row>
        <row r="2414">
          <cell r="A2414" t="str">
            <v>10/21/2020</v>
          </cell>
        </row>
        <row r="2415">
          <cell r="A2415" t="str">
            <v>10/21/2020</v>
          </cell>
        </row>
        <row r="2416">
          <cell r="A2416" t="str">
            <v>10/21/2020</v>
          </cell>
        </row>
        <row r="2417">
          <cell r="A2417" t="str">
            <v>10/22/2020</v>
          </cell>
        </row>
        <row r="2418">
          <cell r="A2418" t="str">
            <v>10/22/2020</v>
          </cell>
        </row>
        <row r="2419">
          <cell r="A2419" t="str">
            <v>10/22/2020</v>
          </cell>
        </row>
        <row r="2420">
          <cell r="A2420" t="str">
            <v>10/22/2020</v>
          </cell>
        </row>
        <row r="2421">
          <cell r="A2421" t="str">
            <v>10/22/2020</v>
          </cell>
        </row>
        <row r="2422">
          <cell r="A2422" t="str">
            <v>10/22/2020</v>
          </cell>
        </row>
        <row r="2423">
          <cell r="A2423" t="str">
            <v>10/22/2020</v>
          </cell>
        </row>
        <row r="2424">
          <cell r="A2424" t="str">
            <v>10/22/2020</v>
          </cell>
        </row>
        <row r="2425">
          <cell r="A2425" t="str">
            <v>10/22/2020</v>
          </cell>
        </row>
        <row r="2426">
          <cell r="A2426" t="str">
            <v>10/22/2020</v>
          </cell>
        </row>
        <row r="2427">
          <cell r="A2427" t="str">
            <v>10/22/2020</v>
          </cell>
        </row>
        <row r="2428">
          <cell r="A2428" t="str">
            <v>10/23/2020</v>
          </cell>
        </row>
        <row r="2429">
          <cell r="A2429" t="str">
            <v>10/23/2020</v>
          </cell>
        </row>
        <row r="2430">
          <cell r="A2430" t="str">
            <v>10/23/2020</v>
          </cell>
        </row>
        <row r="2431">
          <cell r="A2431" t="str">
            <v>10/23/2020</v>
          </cell>
        </row>
        <row r="2432">
          <cell r="A2432" t="str">
            <v>10/23/2020</v>
          </cell>
        </row>
        <row r="2433">
          <cell r="A2433" t="str">
            <v>10/23/2020</v>
          </cell>
        </row>
        <row r="2434">
          <cell r="A2434" t="str">
            <v>10/23/2020</v>
          </cell>
        </row>
        <row r="2435">
          <cell r="A2435" t="str">
            <v>10/23/2020</v>
          </cell>
        </row>
        <row r="2436">
          <cell r="A2436" t="str">
            <v>10/23/2020</v>
          </cell>
        </row>
        <row r="2437">
          <cell r="A2437" t="str">
            <v>10/23/2020</v>
          </cell>
        </row>
        <row r="2438">
          <cell r="A2438" t="str">
            <v>10/23/2020</v>
          </cell>
        </row>
        <row r="2439">
          <cell r="A2439" t="str">
            <v>10/24/2020</v>
          </cell>
        </row>
        <row r="2440">
          <cell r="A2440" t="str">
            <v>10/24/2020</v>
          </cell>
        </row>
        <row r="2441">
          <cell r="A2441" t="str">
            <v>10/25/2020</v>
          </cell>
        </row>
        <row r="2442">
          <cell r="A2442" t="str">
            <v>10/26/2020</v>
          </cell>
        </row>
        <row r="2443">
          <cell r="A2443" t="str">
            <v>10/26/2020</v>
          </cell>
        </row>
        <row r="2444">
          <cell r="A2444" t="str">
            <v>10/26/2020</v>
          </cell>
        </row>
        <row r="2445">
          <cell r="A2445" t="str">
            <v>10/26/2020</v>
          </cell>
        </row>
        <row r="2446">
          <cell r="A2446" t="str">
            <v>10/26/2020</v>
          </cell>
        </row>
        <row r="2447">
          <cell r="A2447" t="str">
            <v>10/26/2020</v>
          </cell>
        </row>
        <row r="2448">
          <cell r="A2448" t="str">
            <v>10/26/2020</v>
          </cell>
        </row>
        <row r="2449">
          <cell r="A2449" t="str">
            <v>10/26/2020</v>
          </cell>
        </row>
        <row r="2450">
          <cell r="A2450" t="str">
            <v>10/26/2020</v>
          </cell>
        </row>
        <row r="2451">
          <cell r="A2451" t="str">
            <v>10/26/2020</v>
          </cell>
        </row>
        <row r="2452">
          <cell r="A2452" t="str">
            <v>10/27/2020</v>
          </cell>
        </row>
        <row r="2453">
          <cell r="A2453" t="str">
            <v>10/27/2020</v>
          </cell>
        </row>
        <row r="2454">
          <cell r="A2454" t="str">
            <v>10/27/2020</v>
          </cell>
        </row>
        <row r="2455">
          <cell r="A2455" t="str">
            <v>10/27/2020</v>
          </cell>
        </row>
        <row r="2456">
          <cell r="A2456" t="str">
            <v>10/27/2020</v>
          </cell>
        </row>
        <row r="2457">
          <cell r="A2457" t="str">
            <v>10/27/2020</v>
          </cell>
        </row>
        <row r="2458">
          <cell r="A2458" t="str">
            <v>10/27/2020</v>
          </cell>
        </row>
        <row r="2459">
          <cell r="A2459" t="str">
            <v>10/27/2020</v>
          </cell>
        </row>
        <row r="2460">
          <cell r="A2460" t="str">
            <v>10/27/2020</v>
          </cell>
        </row>
        <row r="2461">
          <cell r="A2461" t="str">
            <v>10/27/2020</v>
          </cell>
        </row>
        <row r="2462">
          <cell r="A2462" t="str">
            <v>10/27/2020</v>
          </cell>
        </row>
        <row r="2463">
          <cell r="A2463" t="str">
            <v>10/28/2020</v>
          </cell>
        </row>
        <row r="2464">
          <cell r="A2464" t="str">
            <v>10/28/2020</v>
          </cell>
        </row>
        <row r="2465">
          <cell r="A2465" t="str">
            <v>10/28/2020</v>
          </cell>
        </row>
        <row r="2466">
          <cell r="A2466" t="str">
            <v>10/28/2020</v>
          </cell>
        </row>
        <row r="2467">
          <cell r="A2467" t="str">
            <v>10/28/2020</v>
          </cell>
        </row>
        <row r="2468">
          <cell r="A2468" t="str">
            <v>10/28/2020</v>
          </cell>
        </row>
        <row r="2469">
          <cell r="A2469" t="str">
            <v>10/28/2020</v>
          </cell>
        </row>
        <row r="2470">
          <cell r="A2470" t="str">
            <v>10/28/2020</v>
          </cell>
        </row>
        <row r="2471">
          <cell r="A2471" t="str">
            <v>10/28/2020</v>
          </cell>
        </row>
        <row r="2472">
          <cell r="A2472" t="str">
            <v>10/28/2020</v>
          </cell>
        </row>
        <row r="2473">
          <cell r="A2473" t="str">
            <v>10/28/2020</v>
          </cell>
        </row>
        <row r="2474">
          <cell r="A2474" t="str">
            <v>10/29/2020</v>
          </cell>
        </row>
        <row r="2475">
          <cell r="A2475" t="str">
            <v>10/29/2020</v>
          </cell>
        </row>
        <row r="2476">
          <cell r="A2476" t="str">
            <v>10/29/2020</v>
          </cell>
        </row>
        <row r="2477">
          <cell r="A2477" t="str">
            <v>10/29/2020</v>
          </cell>
        </row>
        <row r="2478">
          <cell r="A2478" t="str">
            <v>10/29/2020</v>
          </cell>
        </row>
        <row r="2479">
          <cell r="A2479" t="str">
            <v>10/29/2020</v>
          </cell>
        </row>
        <row r="2480">
          <cell r="A2480" t="str">
            <v>10/29/2020</v>
          </cell>
        </row>
        <row r="2481">
          <cell r="A2481" t="str">
            <v>10/29/2020</v>
          </cell>
        </row>
        <row r="2482">
          <cell r="A2482" t="str">
            <v>10/29/2020</v>
          </cell>
        </row>
        <row r="2483">
          <cell r="A2483" t="str">
            <v>10/30/2020</v>
          </cell>
        </row>
        <row r="2484">
          <cell r="A2484" t="str">
            <v>10/30/2020</v>
          </cell>
        </row>
        <row r="2485">
          <cell r="A2485" t="str">
            <v>10/30/2020</v>
          </cell>
        </row>
        <row r="2486">
          <cell r="A2486" t="str">
            <v>10/30/2020</v>
          </cell>
        </row>
        <row r="2487">
          <cell r="A2487" t="str">
            <v>10/30/2020</v>
          </cell>
        </row>
        <row r="2488">
          <cell r="A2488" t="str">
            <v>10/30/2020</v>
          </cell>
        </row>
        <row r="2489">
          <cell r="A2489" t="str">
            <v>10/30/2020</v>
          </cell>
        </row>
        <row r="2490">
          <cell r="A2490" t="str">
            <v>10/30/2020</v>
          </cell>
        </row>
        <row r="2491">
          <cell r="A2491" t="str">
            <v>10/30/2020</v>
          </cell>
        </row>
        <row r="2492">
          <cell r="A2492" t="str">
            <v>10/30/2020</v>
          </cell>
        </row>
        <row r="2493">
          <cell r="A2493" t="str">
            <v>10/31/2020</v>
          </cell>
        </row>
        <row r="2494">
          <cell r="A2494" t="str">
            <v>10/31/2020</v>
          </cell>
        </row>
        <row r="2495">
          <cell r="A2495" t="str">
            <v>11/01/2020</v>
          </cell>
        </row>
        <row r="2496">
          <cell r="A2496" t="str">
            <v>11/01/2020</v>
          </cell>
        </row>
        <row r="2497">
          <cell r="A2497" t="str">
            <v>11/02/2020</v>
          </cell>
        </row>
        <row r="2498">
          <cell r="A2498" t="str">
            <v>11/02/2020</v>
          </cell>
        </row>
        <row r="2499">
          <cell r="A2499" t="str">
            <v>11/02/2020</v>
          </cell>
        </row>
        <row r="2500">
          <cell r="A2500" t="str">
            <v>11/02/2020</v>
          </cell>
        </row>
        <row r="2501">
          <cell r="A2501" t="str">
            <v>11/02/2020</v>
          </cell>
        </row>
        <row r="2502">
          <cell r="A2502" t="str">
            <v>11/02/2020</v>
          </cell>
        </row>
        <row r="2503">
          <cell r="A2503" t="str">
            <v>11/02/2020</v>
          </cell>
        </row>
        <row r="2504">
          <cell r="A2504" t="str">
            <v>11/02/2020</v>
          </cell>
        </row>
        <row r="2505">
          <cell r="A2505" t="str">
            <v>11/02/2020</v>
          </cell>
        </row>
        <row r="2506">
          <cell r="A2506" t="str">
            <v>11/02/2020</v>
          </cell>
        </row>
        <row r="2507">
          <cell r="A2507" t="str">
            <v>11/02/2020</v>
          </cell>
        </row>
        <row r="2508">
          <cell r="A2508" t="str">
            <v>11/02/2020</v>
          </cell>
        </row>
        <row r="2509">
          <cell r="A2509" t="str">
            <v>11/03/2020</v>
          </cell>
        </row>
        <row r="2510">
          <cell r="A2510" t="str">
            <v>11/03/2020</v>
          </cell>
        </row>
        <row r="2511">
          <cell r="A2511" t="str">
            <v>11/03/2020</v>
          </cell>
        </row>
        <row r="2512">
          <cell r="A2512" t="str">
            <v>11/03/2020</v>
          </cell>
        </row>
        <row r="2513">
          <cell r="A2513" t="str">
            <v>11/03/2020</v>
          </cell>
        </row>
        <row r="2514">
          <cell r="A2514" t="str">
            <v>11/03/2020</v>
          </cell>
        </row>
        <row r="2515">
          <cell r="A2515" t="str">
            <v>11/03/2020</v>
          </cell>
        </row>
        <row r="2516">
          <cell r="A2516" t="str">
            <v>11/03/2020</v>
          </cell>
        </row>
        <row r="2517">
          <cell r="A2517" t="str">
            <v>11/03/2020</v>
          </cell>
        </row>
        <row r="2518">
          <cell r="A2518" t="str">
            <v>11/03/2020</v>
          </cell>
        </row>
        <row r="2519">
          <cell r="A2519" t="str">
            <v>11/03/2020</v>
          </cell>
        </row>
        <row r="2520">
          <cell r="A2520" t="str">
            <v>11/04/2020</v>
          </cell>
        </row>
        <row r="2521">
          <cell r="A2521" t="str">
            <v>11/04/2020</v>
          </cell>
        </row>
        <row r="2522">
          <cell r="A2522" t="str">
            <v>11/04/2020</v>
          </cell>
        </row>
        <row r="2523">
          <cell r="A2523" t="str">
            <v>11/04/2020</v>
          </cell>
        </row>
        <row r="2524">
          <cell r="A2524" t="str">
            <v>11/04/2020</v>
          </cell>
        </row>
        <row r="2525">
          <cell r="A2525" t="str">
            <v>11/04/2020</v>
          </cell>
        </row>
        <row r="2526">
          <cell r="A2526" t="str">
            <v>11/04/2020</v>
          </cell>
        </row>
        <row r="2527">
          <cell r="A2527" t="str">
            <v>11/04/2020</v>
          </cell>
        </row>
        <row r="2528">
          <cell r="A2528" t="str">
            <v>11/04/2020</v>
          </cell>
        </row>
        <row r="2529">
          <cell r="A2529" t="str">
            <v>11/04/2020</v>
          </cell>
        </row>
        <row r="2530">
          <cell r="A2530" t="str">
            <v>11/04/2020</v>
          </cell>
        </row>
        <row r="2531">
          <cell r="A2531" t="str">
            <v>11/05/2020</v>
          </cell>
        </row>
        <row r="2532">
          <cell r="A2532" t="str">
            <v>11/05/2020</v>
          </cell>
        </row>
        <row r="2533">
          <cell r="A2533" t="str">
            <v>11/05/2020</v>
          </cell>
        </row>
        <row r="2534">
          <cell r="A2534" t="str">
            <v>11/05/2020</v>
          </cell>
        </row>
        <row r="2535">
          <cell r="A2535" t="str">
            <v>11/05/2020</v>
          </cell>
        </row>
        <row r="2536">
          <cell r="A2536" t="str">
            <v>11/05/2020</v>
          </cell>
        </row>
        <row r="2537">
          <cell r="A2537" t="str">
            <v>11/05/2020</v>
          </cell>
        </row>
        <row r="2538">
          <cell r="A2538" t="str">
            <v>11/05/2020</v>
          </cell>
        </row>
        <row r="2539">
          <cell r="A2539" t="str">
            <v>11/05/2020</v>
          </cell>
        </row>
        <row r="2540">
          <cell r="A2540" t="str">
            <v>11/05/2020</v>
          </cell>
        </row>
        <row r="2541">
          <cell r="A2541" t="str">
            <v>11/05/2020</v>
          </cell>
        </row>
        <row r="2542">
          <cell r="A2542" t="str">
            <v>11/05/2020</v>
          </cell>
        </row>
        <row r="2543">
          <cell r="A2543" t="str">
            <v>11/05/2020</v>
          </cell>
        </row>
        <row r="2544">
          <cell r="A2544" t="str">
            <v>11/06/2020</v>
          </cell>
        </row>
        <row r="2545">
          <cell r="A2545" t="str">
            <v>11/06/2020</v>
          </cell>
        </row>
        <row r="2546">
          <cell r="A2546" t="str">
            <v>11/06/2020</v>
          </cell>
        </row>
        <row r="2547">
          <cell r="A2547" t="str">
            <v>11/06/2020</v>
          </cell>
        </row>
        <row r="2548">
          <cell r="A2548" t="str">
            <v>11/06/2020</v>
          </cell>
        </row>
        <row r="2549">
          <cell r="A2549" t="str">
            <v>11/06/2020</v>
          </cell>
        </row>
        <row r="2550">
          <cell r="A2550" t="str">
            <v>11/06/2020</v>
          </cell>
        </row>
        <row r="2551">
          <cell r="A2551" t="str">
            <v>11/06/2020</v>
          </cell>
        </row>
        <row r="2552">
          <cell r="A2552" t="str">
            <v>11/06/2020</v>
          </cell>
        </row>
        <row r="2553">
          <cell r="A2553" t="str">
            <v>11/06/2020</v>
          </cell>
        </row>
        <row r="2554">
          <cell r="A2554" t="str">
            <v>11/07/2020</v>
          </cell>
        </row>
        <row r="2555">
          <cell r="A2555" t="str">
            <v>11/07/2020</v>
          </cell>
        </row>
        <row r="2556">
          <cell r="A2556" t="str">
            <v>11/09/2020</v>
          </cell>
        </row>
        <row r="2557">
          <cell r="A2557" t="str">
            <v>11/09/2020</v>
          </cell>
        </row>
        <row r="2558">
          <cell r="A2558" t="str">
            <v>11/09/2020</v>
          </cell>
        </row>
        <row r="2559">
          <cell r="A2559" t="str">
            <v>11/09/2020</v>
          </cell>
        </row>
        <row r="2560">
          <cell r="A2560" t="str">
            <v>11/09/2020</v>
          </cell>
        </row>
        <row r="2561">
          <cell r="A2561" t="str">
            <v>11/09/2020</v>
          </cell>
        </row>
        <row r="2562">
          <cell r="A2562" t="str">
            <v>11/09/2020</v>
          </cell>
        </row>
        <row r="2563">
          <cell r="A2563" t="str">
            <v>11/09/2020</v>
          </cell>
        </row>
        <row r="2564">
          <cell r="A2564" t="str">
            <v>11/09/2020</v>
          </cell>
        </row>
        <row r="2565">
          <cell r="A2565" t="str">
            <v>11/09/2020</v>
          </cell>
        </row>
        <row r="2566">
          <cell r="A2566" t="str">
            <v>11/10/2020</v>
          </cell>
        </row>
        <row r="2567">
          <cell r="A2567" t="str">
            <v>11/10/2020</v>
          </cell>
        </row>
        <row r="2568">
          <cell r="A2568" t="str">
            <v>11/10/2020</v>
          </cell>
        </row>
        <row r="2569">
          <cell r="A2569" t="str">
            <v>11/10/2020</v>
          </cell>
        </row>
        <row r="2570">
          <cell r="A2570" t="str">
            <v>11/10/2020</v>
          </cell>
        </row>
        <row r="2571">
          <cell r="A2571" t="str">
            <v>11/10/2020</v>
          </cell>
        </row>
        <row r="2572">
          <cell r="A2572" t="str">
            <v>11/10/2020</v>
          </cell>
        </row>
        <row r="2573">
          <cell r="A2573" t="str">
            <v>11/10/2020</v>
          </cell>
        </row>
        <row r="2574">
          <cell r="A2574" t="str">
            <v>11/10/2020</v>
          </cell>
        </row>
        <row r="2575">
          <cell r="A2575" t="str">
            <v>11/10/2020</v>
          </cell>
        </row>
        <row r="2576">
          <cell r="A2576" t="str">
            <v>11/10/2020</v>
          </cell>
        </row>
        <row r="2577">
          <cell r="A2577" t="str">
            <v>11/11/2020</v>
          </cell>
        </row>
        <row r="2578">
          <cell r="A2578" t="str">
            <v>11/11/2020</v>
          </cell>
        </row>
        <row r="2579">
          <cell r="A2579" t="str">
            <v>11/11/2020</v>
          </cell>
        </row>
        <row r="2580">
          <cell r="A2580" t="str">
            <v>11/11/2020</v>
          </cell>
        </row>
        <row r="2581">
          <cell r="A2581" t="str">
            <v>11/11/2020</v>
          </cell>
        </row>
        <row r="2582">
          <cell r="A2582" t="str">
            <v>11/11/2020</v>
          </cell>
        </row>
        <row r="2583">
          <cell r="A2583" t="str">
            <v>11/11/2020</v>
          </cell>
        </row>
        <row r="2584">
          <cell r="A2584" t="str">
            <v>11/12/2020</v>
          </cell>
        </row>
        <row r="2585">
          <cell r="A2585" t="str">
            <v>11/12/2020</v>
          </cell>
        </row>
        <row r="2586">
          <cell r="A2586" t="str">
            <v>11/12/2020</v>
          </cell>
        </row>
        <row r="2587">
          <cell r="A2587" t="str">
            <v>11/12/2020</v>
          </cell>
        </row>
        <row r="2588">
          <cell r="A2588" t="str">
            <v>11/12/2020</v>
          </cell>
        </row>
        <row r="2589">
          <cell r="A2589" t="str">
            <v>11/12/2020</v>
          </cell>
        </row>
        <row r="2590">
          <cell r="A2590" t="str">
            <v>11/12/2020</v>
          </cell>
        </row>
        <row r="2591">
          <cell r="A2591" t="str">
            <v>11/12/2020</v>
          </cell>
        </row>
        <row r="2592">
          <cell r="A2592" t="str">
            <v>11/12/2020</v>
          </cell>
        </row>
        <row r="2593">
          <cell r="A2593" t="str">
            <v>11/12/2020</v>
          </cell>
        </row>
        <row r="2594">
          <cell r="A2594" t="str">
            <v>11/13/2020</v>
          </cell>
        </row>
        <row r="2595">
          <cell r="A2595" t="str">
            <v>11/13/2020</v>
          </cell>
        </row>
        <row r="2596">
          <cell r="A2596" t="str">
            <v>11/13/2020</v>
          </cell>
        </row>
        <row r="2597">
          <cell r="A2597" t="str">
            <v>11/13/2020</v>
          </cell>
        </row>
        <row r="2598">
          <cell r="A2598" t="str">
            <v>11/13/2020</v>
          </cell>
        </row>
        <row r="2599">
          <cell r="A2599" t="str">
            <v>11/13/2020</v>
          </cell>
        </row>
        <row r="2600">
          <cell r="A2600" t="str">
            <v>11/13/2020</v>
          </cell>
        </row>
        <row r="2601">
          <cell r="A2601" t="str">
            <v>11/13/2020</v>
          </cell>
        </row>
        <row r="2602">
          <cell r="A2602" t="str">
            <v>11/13/2020</v>
          </cell>
        </row>
        <row r="2603">
          <cell r="A2603" t="str">
            <v>11/13/2020</v>
          </cell>
        </row>
        <row r="2604">
          <cell r="A2604" t="str">
            <v>11/13/2020</v>
          </cell>
        </row>
        <row r="2605">
          <cell r="A2605" t="str">
            <v>11/14/2020</v>
          </cell>
        </row>
        <row r="2606">
          <cell r="A2606" t="str">
            <v>11/16/2020</v>
          </cell>
        </row>
        <row r="2607">
          <cell r="A2607" t="str">
            <v>11/16/2020</v>
          </cell>
        </row>
        <row r="2608">
          <cell r="A2608" t="str">
            <v>11/16/2020</v>
          </cell>
        </row>
        <row r="2609">
          <cell r="A2609" t="str">
            <v>11/16/2020</v>
          </cell>
        </row>
        <row r="2610">
          <cell r="A2610" t="str">
            <v>11/16/2020</v>
          </cell>
        </row>
        <row r="2611">
          <cell r="A2611" t="str">
            <v>11/16/2020</v>
          </cell>
        </row>
        <row r="2612">
          <cell r="A2612" t="str">
            <v>11/16/2020</v>
          </cell>
        </row>
        <row r="2613">
          <cell r="A2613" t="str">
            <v>11/16/2020</v>
          </cell>
        </row>
        <row r="2614">
          <cell r="A2614" t="str">
            <v>11/16/2020</v>
          </cell>
        </row>
        <row r="2615">
          <cell r="A2615" t="str">
            <v>11/16/2020</v>
          </cell>
        </row>
        <row r="2616">
          <cell r="A2616" t="str">
            <v>11/16/2020</v>
          </cell>
        </row>
        <row r="2617">
          <cell r="A2617" t="str">
            <v>11/17/2020</v>
          </cell>
        </row>
        <row r="2618">
          <cell r="A2618" t="str">
            <v>11/17/2020</v>
          </cell>
        </row>
        <row r="2619">
          <cell r="A2619" t="str">
            <v>11/17/2020</v>
          </cell>
        </row>
        <row r="2620">
          <cell r="A2620" t="str">
            <v>11/17/2020</v>
          </cell>
        </row>
        <row r="2621">
          <cell r="A2621" t="str">
            <v>11/17/2020</v>
          </cell>
        </row>
        <row r="2622">
          <cell r="A2622" t="str">
            <v>11/17/2020</v>
          </cell>
        </row>
        <row r="2623">
          <cell r="A2623" t="str">
            <v>11/17/2020</v>
          </cell>
        </row>
        <row r="2624">
          <cell r="A2624" t="str">
            <v>11/17/2020</v>
          </cell>
        </row>
        <row r="2625">
          <cell r="A2625" t="str">
            <v>11/17/2020</v>
          </cell>
        </row>
        <row r="2626">
          <cell r="A2626" t="str">
            <v>11/17/2020</v>
          </cell>
        </row>
        <row r="2627">
          <cell r="A2627" t="str">
            <v>11/17/2020</v>
          </cell>
        </row>
        <row r="2628">
          <cell r="A2628" t="str">
            <v>11/18/2020</v>
          </cell>
        </row>
        <row r="2629">
          <cell r="A2629" t="str">
            <v>11/18/2020</v>
          </cell>
        </row>
        <row r="2630">
          <cell r="A2630" t="str">
            <v>11/18/2020</v>
          </cell>
        </row>
        <row r="2631">
          <cell r="A2631" t="str">
            <v>11/18/2020</v>
          </cell>
        </row>
        <row r="2632">
          <cell r="A2632" t="str">
            <v>11/18/2020</v>
          </cell>
        </row>
        <row r="2633">
          <cell r="A2633" t="str">
            <v>11/18/2020</v>
          </cell>
        </row>
        <row r="2634">
          <cell r="A2634" t="str">
            <v>11/18/2020</v>
          </cell>
        </row>
        <row r="2635">
          <cell r="A2635" t="str">
            <v>11/18/2020</v>
          </cell>
        </row>
        <row r="2636">
          <cell r="A2636" t="str">
            <v>11/18/2020</v>
          </cell>
        </row>
        <row r="2637">
          <cell r="A2637" t="str">
            <v>11/18/2020</v>
          </cell>
        </row>
      </sheetData>
      <sheetData sheetId="6" refreshError="1"/>
      <sheetData sheetId="7" refreshError="1"/>
      <sheetData sheetId="8" refreshError="1"/>
      <sheetData sheetId="9" refreshError="1"/>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 Input, Close &amp; C"/>
      <sheetName val="Plant Summary Report"/>
      <sheetName val="CWIP Summary"/>
      <sheetName val="Income Statement - No Detail"/>
      <sheetName val="Summary Income Statement"/>
      <sheetName val="Summary Income Statement (GAAP)"/>
      <sheetName val="Detailed Income Statement"/>
      <sheetName val="Balance Sheet"/>
      <sheetName val="Summary Balance Sheet"/>
      <sheetName val="Statement of Cash Flows"/>
      <sheetName val="Statement of Cash Flows - Finan"/>
      <sheetName val="Receipts and Disbursements"/>
      <sheetName val="EBITDA and FFO"/>
      <sheetName val="EBITDA and CAD"/>
      <sheetName val="EBITDA and FFO (PE Version)"/>
      <sheetName val="Deferral Input"/>
      <sheetName val="Journal Entries"/>
      <sheetName val="Working Capital"/>
      <sheetName val="Working Capital (EOP)"/>
      <sheetName val="Rate Base"/>
      <sheetName val="Cost of Capital"/>
      <sheetName val="Rate Base (EOP)"/>
      <sheetName val="Electric Revenue Schedule"/>
      <sheetName val="Gas Revenue &amp; Cost by Sched"/>
      <sheetName val="Covenant Ratios"/>
      <sheetName val="Electric Revenue and Margin Rep"/>
      <sheetName val="Covenant Ratios (PE Version)"/>
      <sheetName val="Gas Revenue and Margin Report"/>
      <sheetName val="Electric Revenue Forecast Per M"/>
      <sheetName val="Rating Agency - Ratios &amp; Statis"/>
      <sheetName val="Ratio &amp; Statistics Summary"/>
      <sheetName val="Depreciation and Amortization E"/>
      <sheetName val="Moody s Ratios"/>
      <sheetName val="Net Power Costs"/>
      <sheetName val="Gas Revenue Forecast Per Therm"/>
      <sheetName val="Working Capital Summary"/>
      <sheetName val="Old Electric Margin Report"/>
      <sheetName val="Old Gas Margin Report"/>
      <sheetName val="Income Tax (VJ)"/>
      <sheetName val="Tax Targeting"/>
      <sheetName val="PTC Calc"/>
      <sheetName val="Schedule M1 - New"/>
      <sheetName val="P2 Income Tax"/>
      <sheetName val="P2 Tax Summary"/>
      <sheetName val="Scenario Info"/>
    </sheetNames>
    <sheetDataSet>
      <sheetData sheetId="0"/>
      <sheetData sheetId="1"/>
      <sheetData sheetId="2"/>
      <sheetData sheetId="3"/>
      <sheetData sheetId="4"/>
      <sheetData sheetId="5"/>
      <sheetData sheetId="6"/>
      <sheetData sheetId="7"/>
      <sheetData sheetId="8">
        <row r="43">
          <cell r="W43">
            <v>4362.9589010559903</v>
          </cell>
          <cell r="X43">
            <v>4366.2836586398598</v>
          </cell>
          <cell r="Y43">
            <v>4373.1445083624303</v>
          </cell>
        </row>
        <row r="46">
          <cell r="W46">
            <v>4784.5935614099899</v>
          </cell>
          <cell r="X46">
            <v>4784.5935614099899</v>
          </cell>
          <cell r="Y46">
            <v>4784.5935614099899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427">
          <cell r="E427">
            <v>3.6224022910239235E-3</v>
          </cell>
          <cell r="N427">
            <v>9.7719308487590282E-3</v>
          </cell>
          <cell r="O427">
            <v>1.0558237785303695E-2</v>
          </cell>
          <cell r="P427">
            <v>1.1335966482152036E-2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3"/>
  <sheetViews>
    <sheetView workbookViewId="0">
      <selection activeCell="F26" sqref="F26"/>
    </sheetView>
  </sheetViews>
  <sheetFormatPr defaultColWidth="10.6640625" defaultRowHeight="12.75"/>
  <cols>
    <col min="1" max="1" width="27.5" style="479" customWidth="1"/>
    <col min="2" max="2" width="12.83203125" style="479" customWidth="1"/>
    <col min="3" max="3" width="12.1640625" style="479" customWidth="1"/>
    <col min="4" max="4" width="14.33203125" style="479" bestFit="1" customWidth="1"/>
    <col min="5" max="16384" width="10.6640625" style="479"/>
  </cols>
  <sheetData>
    <row r="1" spans="1:10">
      <c r="A1" s="477" t="s">
        <v>266</v>
      </c>
      <c r="B1" s="478"/>
      <c r="C1" s="478"/>
      <c r="D1" s="478"/>
      <c r="E1" s="478"/>
      <c r="F1" s="478"/>
      <c r="G1" s="478"/>
      <c r="H1" s="478"/>
      <c r="I1" s="478"/>
      <c r="J1" s="478"/>
    </row>
    <row r="2" spans="1:10">
      <c r="A2" s="480" t="s">
        <v>203</v>
      </c>
      <c r="B2" s="480"/>
      <c r="C2" s="480"/>
      <c r="D2" s="480"/>
      <c r="E2" s="480"/>
      <c r="F2" s="480"/>
      <c r="G2" s="480"/>
      <c r="H2" s="480"/>
      <c r="I2" s="480"/>
      <c r="J2" s="480"/>
    </row>
    <row r="3" spans="1:10">
      <c r="A3" s="480"/>
      <c r="B3" s="481"/>
      <c r="C3" s="481"/>
      <c r="D3" s="480"/>
      <c r="E3" s="480"/>
      <c r="F3" s="480"/>
      <c r="G3" s="480"/>
      <c r="H3" s="480"/>
      <c r="I3" s="480"/>
      <c r="J3" s="480"/>
    </row>
    <row r="4" spans="1:10">
      <c r="A4" s="480"/>
      <c r="B4" s="482" t="s">
        <v>204</v>
      </c>
      <c r="C4" s="482" t="s">
        <v>11</v>
      </c>
      <c r="D4" s="482" t="s">
        <v>205</v>
      </c>
      <c r="E4" s="480"/>
      <c r="F4" s="480"/>
      <c r="G4" s="480"/>
      <c r="H4" s="480"/>
      <c r="I4" s="480"/>
      <c r="J4" s="480"/>
    </row>
    <row r="5" spans="1:10">
      <c r="A5" s="480" t="s">
        <v>13</v>
      </c>
      <c r="B5" s="481" t="e">
        <f>#REF!</f>
        <v>#REF!</v>
      </c>
      <c r="C5" s="481" t="e">
        <f>#REF!</f>
        <v>#REF!</v>
      </c>
      <c r="D5" s="481" t="e">
        <f>ROUND(B5*C5,5)</f>
        <v>#REF!</v>
      </c>
      <c r="E5" s="480"/>
      <c r="F5" s="481" t="e">
        <f>B5/G9*C5</f>
        <v>#REF!</v>
      </c>
      <c r="G5" s="480"/>
      <c r="H5" s="480"/>
      <c r="I5" s="480"/>
      <c r="J5" s="480"/>
    </row>
    <row r="6" spans="1:10">
      <c r="A6" s="480" t="s">
        <v>14</v>
      </c>
      <c r="B6" s="483" t="e">
        <f>#REF!</f>
        <v>#REF!</v>
      </c>
      <c r="C6" s="483" t="e">
        <f>#REF!</f>
        <v>#REF!</v>
      </c>
      <c r="D6" s="481" t="e">
        <f>ROUND(B6*C6,5)</f>
        <v>#REF!</v>
      </c>
      <c r="E6" s="480"/>
      <c r="F6" s="481" t="e">
        <f>B6/G9*C6</f>
        <v>#REF!</v>
      </c>
      <c r="G6" s="480"/>
      <c r="H6" s="480"/>
      <c r="I6" s="480"/>
      <c r="J6" s="480"/>
    </row>
    <row r="7" spans="1:10">
      <c r="A7" s="480" t="s">
        <v>110</v>
      </c>
      <c r="B7" s="481">
        <v>0</v>
      </c>
      <c r="C7" s="481">
        <v>0</v>
      </c>
      <c r="D7" s="481">
        <f>ROUND(B7*C7,5)</f>
        <v>0</v>
      </c>
      <c r="E7" s="480"/>
      <c r="F7" s="480"/>
      <c r="G7" s="484" t="e">
        <f>SUM(F5:F6)</f>
        <v>#REF!</v>
      </c>
      <c r="H7" s="480" t="s">
        <v>206</v>
      </c>
      <c r="I7" s="480"/>
      <c r="J7" s="480"/>
    </row>
    <row r="8" spans="1:10" ht="13.5" thickBot="1">
      <c r="A8" s="480" t="s">
        <v>111</v>
      </c>
      <c r="B8" s="481" t="e">
        <f>#REF!</f>
        <v>#REF!</v>
      </c>
      <c r="C8" s="481" t="e">
        <f>#REF!</f>
        <v>#REF!</v>
      </c>
      <c r="D8" s="481" t="e">
        <f>ROUND(B8*C8,5)</f>
        <v>#REF!</v>
      </c>
      <c r="E8" s="480"/>
      <c r="F8" s="480"/>
      <c r="G8" s="485" t="e">
        <f>G7*0.65</f>
        <v>#REF!</v>
      </c>
      <c r="H8" s="480" t="s">
        <v>207</v>
      </c>
      <c r="I8" s="480"/>
      <c r="J8" s="480"/>
    </row>
    <row r="9" spans="1:10" ht="13.5" thickBot="1">
      <c r="A9" s="486" t="s">
        <v>216</v>
      </c>
      <c r="B9" s="487" t="e">
        <f>SUM(B5:B8)</f>
        <v>#REF!</v>
      </c>
      <c r="C9" s="488"/>
      <c r="D9" s="489" t="e">
        <f>SUM(D5:D8)</f>
        <v>#REF!</v>
      </c>
      <c r="E9" s="480"/>
      <c r="F9" s="480"/>
      <c r="G9" s="490" t="e">
        <f>SUM(B5:B6)</f>
        <v>#REF!</v>
      </c>
      <c r="H9" s="480" t="s">
        <v>209</v>
      </c>
      <c r="I9" s="480"/>
      <c r="J9" s="480"/>
    </row>
    <row r="10" spans="1:10" ht="13.5" thickBot="1">
      <c r="A10" s="480"/>
      <c r="B10" s="480"/>
      <c r="C10" s="480"/>
      <c r="D10" s="480"/>
      <c r="E10" s="480"/>
      <c r="F10" s="480"/>
      <c r="I10" s="480"/>
      <c r="J10" s="480"/>
    </row>
    <row r="11" spans="1:10" ht="13.5" thickBot="1">
      <c r="A11" s="486" t="s">
        <v>210</v>
      </c>
      <c r="B11" s="480"/>
      <c r="C11" s="480"/>
      <c r="D11" s="489" t="e">
        <f>(D6+D5)*0.65+D7+D8</f>
        <v>#REF!</v>
      </c>
      <c r="E11" s="480"/>
      <c r="F11" s="480"/>
      <c r="G11" s="480"/>
      <c r="H11" s="486" t="s">
        <v>211</v>
      </c>
      <c r="I11" s="480"/>
      <c r="J11" s="480"/>
    </row>
    <row r="12" spans="1:10">
      <c r="A12" s="480"/>
      <c r="B12" s="480"/>
      <c r="C12" s="480"/>
      <c r="D12" s="480"/>
      <c r="E12" s="480"/>
      <c r="G12" s="491" t="e">
        <f>G9*G8</f>
        <v>#REF!</v>
      </c>
      <c r="H12" s="479" t="s">
        <v>212</v>
      </c>
      <c r="I12" s="480"/>
      <c r="J12" s="480"/>
    </row>
    <row r="13" spans="1:10">
      <c r="A13" s="480"/>
      <c r="B13" s="480"/>
      <c r="C13" s="480"/>
      <c r="D13" s="480"/>
      <c r="E13" s="480"/>
      <c r="F13" s="480"/>
      <c r="G13" s="490">
        <f>D7</f>
        <v>0</v>
      </c>
      <c r="H13" s="479" t="s">
        <v>213</v>
      </c>
      <c r="I13" s="480"/>
      <c r="J13" s="480"/>
    </row>
    <row r="14" spans="1:10">
      <c r="A14" s="480" t="s">
        <v>214</v>
      </c>
      <c r="B14" s="480"/>
      <c r="C14" s="480"/>
      <c r="D14" s="492" t="e">
        <f>D11/0.65</f>
        <v>#REF!</v>
      </c>
      <c r="E14" s="480"/>
      <c r="F14" s="480"/>
      <c r="G14" s="490" t="e">
        <f>D8</f>
        <v>#REF!</v>
      </c>
      <c r="H14" s="479" t="s">
        <v>215</v>
      </c>
      <c r="I14" s="480"/>
      <c r="J14" s="480"/>
    </row>
    <row r="15" spans="1:10">
      <c r="A15" s="480"/>
      <c r="B15" s="480"/>
      <c r="C15" s="480"/>
      <c r="D15" s="480"/>
      <c r="E15" s="480"/>
      <c r="F15" s="481"/>
      <c r="G15" s="493" t="e">
        <f>SUM(G12:G14)</f>
        <v>#REF!</v>
      </c>
      <c r="H15" s="480"/>
      <c r="I15" s="480"/>
      <c r="J15" s="480"/>
    </row>
    <row r="17" spans="1:10">
      <c r="A17" s="477" t="s">
        <v>259</v>
      </c>
      <c r="B17" s="478"/>
      <c r="C17" s="478"/>
      <c r="D17" s="478"/>
      <c r="E17" s="478"/>
      <c r="F17" s="478"/>
      <c r="G17" s="478"/>
      <c r="H17" s="478"/>
      <c r="I17" s="478"/>
      <c r="J17" s="478"/>
    </row>
    <row r="18" spans="1:10">
      <c r="A18" s="480" t="s">
        <v>203</v>
      </c>
      <c r="B18" s="480"/>
      <c r="C18" s="480"/>
      <c r="D18" s="480"/>
      <c r="E18" s="480"/>
      <c r="F18" s="480"/>
      <c r="G18" s="480"/>
      <c r="H18" s="480"/>
      <c r="I18" s="480"/>
      <c r="J18" s="480"/>
    </row>
    <row r="19" spans="1:10">
      <c r="A19" s="480"/>
      <c r="B19" s="481"/>
      <c r="C19" s="481"/>
      <c r="D19" s="480"/>
      <c r="E19" s="480"/>
      <c r="F19" s="480"/>
      <c r="G19" s="480"/>
      <c r="H19" s="480"/>
      <c r="I19" s="480"/>
      <c r="J19" s="480"/>
    </row>
    <row r="20" spans="1:10">
      <c r="A20" s="480"/>
      <c r="B20" s="482" t="s">
        <v>204</v>
      </c>
      <c r="C20" s="482" t="s">
        <v>11</v>
      </c>
      <c r="D20" s="482" t="s">
        <v>205</v>
      </c>
      <c r="E20" s="480"/>
      <c r="F20" s="480"/>
      <c r="G20" s="480"/>
      <c r="H20" s="480"/>
      <c r="I20" s="480"/>
      <c r="J20" s="480"/>
    </row>
    <row r="21" spans="1:10">
      <c r="A21" s="480" t="s">
        <v>13</v>
      </c>
      <c r="B21" s="481">
        <v>1.26E-2</v>
      </c>
      <c r="C21" s="481">
        <v>6.4899999999999999E-2</v>
      </c>
      <c r="D21" s="481">
        <f>ROUND(B21*C21,5)</f>
        <v>8.1999999999999998E-4</v>
      </c>
      <c r="E21" s="480"/>
      <c r="F21" s="481">
        <f>B21/G25*C21</f>
        <v>1.5817021276595747E-3</v>
      </c>
      <c r="G21" s="480"/>
      <c r="H21" s="480"/>
      <c r="I21" s="480"/>
      <c r="J21" s="480"/>
    </row>
    <row r="22" spans="1:10">
      <c r="A22" s="480" t="s">
        <v>14</v>
      </c>
      <c r="B22" s="483">
        <v>0.50439999999999996</v>
      </c>
      <c r="C22" s="483">
        <v>6.2199999999999998E-2</v>
      </c>
      <c r="D22" s="481">
        <f>ROUND(B22*C22,5)</f>
        <v>3.1370000000000002E-2</v>
      </c>
      <c r="E22" s="480"/>
      <c r="F22" s="481">
        <f>B22/G25*C22</f>
        <v>6.0684100580270794E-2</v>
      </c>
      <c r="G22" s="480"/>
      <c r="H22" s="480"/>
      <c r="I22" s="480"/>
      <c r="J22" s="480"/>
    </row>
    <row r="23" spans="1:10">
      <c r="A23" s="480" t="s">
        <v>110</v>
      </c>
      <c r="B23" s="481">
        <v>0</v>
      </c>
      <c r="C23" s="481">
        <v>0</v>
      </c>
      <c r="D23" s="481">
        <f>ROUND(B23*C23,5)</f>
        <v>0</v>
      </c>
      <c r="E23" s="480"/>
      <c r="F23" s="480"/>
      <c r="G23" s="484">
        <f>SUM(F21:F22)</f>
        <v>6.2265802707930369E-2</v>
      </c>
      <c r="H23" s="480" t="s">
        <v>206</v>
      </c>
      <c r="I23" s="480"/>
      <c r="J23" s="480"/>
    </row>
    <row r="24" spans="1:10" ht="13.5" thickBot="1">
      <c r="A24" s="480" t="s">
        <v>111</v>
      </c>
      <c r="B24" s="481">
        <v>0.48299999999999998</v>
      </c>
      <c r="C24" s="481" t="e">
        <f>#REF!</f>
        <v>#REF!</v>
      </c>
      <c r="D24" s="481" t="e">
        <f>ROUND(B24*C24,5)</f>
        <v>#REF!</v>
      </c>
      <c r="E24" s="480"/>
      <c r="F24" s="480"/>
      <c r="G24" s="485">
        <f>G23*0.65</f>
        <v>4.0472771760154742E-2</v>
      </c>
      <c r="H24" s="480" t="s">
        <v>207</v>
      </c>
      <c r="I24" s="480"/>
      <c r="J24" s="480"/>
    </row>
    <row r="25" spans="1:10" ht="13.5" thickBot="1">
      <c r="A25" s="486" t="s">
        <v>216</v>
      </c>
      <c r="B25" s="487">
        <f>SUM(B21:B24)</f>
        <v>0.99999999999999989</v>
      </c>
      <c r="C25" s="488"/>
      <c r="D25" s="489" t="e">
        <f>SUM(D21:D24)</f>
        <v>#REF!</v>
      </c>
      <c r="E25" s="480"/>
      <c r="F25" s="480"/>
      <c r="G25" s="490">
        <f>SUM(B21:B22)</f>
        <v>0.5169999999999999</v>
      </c>
      <c r="H25" s="480" t="s">
        <v>209</v>
      </c>
      <c r="I25" s="480"/>
      <c r="J25" s="480"/>
    </row>
    <row r="26" spans="1:10" ht="13.5" thickBot="1">
      <c r="A26" s="480"/>
      <c r="B26" s="480"/>
      <c r="C26" s="480"/>
      <c r="D26" s="480"/>
      <c r="E26" s="480"/>
      <c r="F26" s="480"/>
      <c r="I26" s="480"/>
      <c r="J26" s="480"/>
    </row>
    <row r="27" spans="1:10" ht="13.5" thickBot="1">
      <c r="A27" s="486" t="s">
        <v>210</v>
      </c>
      <c r="B27" s="480"/>
      <c r="C27" s="480"/>
      <c r="D27" s="489" t="e">
        <f>(D22+D21)*0.65+D23+D24</f>
        <v>#REF!</v>
      </c>
      <c r="E27" s="480"/>
      <c r="F27" s="480"/>
      <c r="G27" s="480"/>
      <c r="H27" s="486" t="s">
        <v>211</v>
      </c>
      <c r="I27" s="480"/>
      <c r="J27" s="480"/>
    </row>
    <row r="28" spans="1:10">
      <c r="A28" s="480"/>
      <c r="B28" s="480"/>
      <c r="C28" s="480"/>
      <c r="D28" s="480"/>
      <c r="E28" s="480"/>
      <c r="G28" s="491">
        <f>G25*G24</f>
        <v>2.0924422999999998E-2</v>
      </c>
      <c r="H28" s="479" t="s">
        <v>212</v>
      </c>
      <c r="I28" s="480"/>
      <c r="J28" s="480"/>
    </row>
    <row r="29" spans="1:10">
      <c r="A29" s="480"/>
      <c r="B29" s="480"/>
      <c r="C29" s="480"/>
      <c r="D29" s="480"/>
      <c r="E29" s="480"/>
      <c r="F29" s="480"/>
      <c r="G29" s="490">
        <f>D23</f>
        <v>0</v>
      </c>
      <c r="H29" s="479" t="s">
        <v>213</v>
      </c>
      <c r="I29" s="480"/>
      <c r="J29" s="480"/>
    </row>
    <row r="30" spans="1:10">
      <c r="A30" s="480" t="s">
        <v>214</v>
      </c>
      <c r="B30" s="480"/>
      <c r="C30" s="480"/>
      <c r="D30" s="492" t="e">
        <f>D27/0.65</f>
        <v>#REF!</v>
      </c>
      <c r="E30" s="480"/>
      <c r="F30" s="480"/>
      <c r="G30" s="490" t="e">
        <f>D24</f>
        <v>#REF!</v>
      </c>
      <c r="H30" s="479" t="s">
        <v>215</v>
      </c>
      <c r="I30" s="480"/>
      <c r="J30" s="480"/>
    </row>
    <row r="31" spans="1:10">
      <c r="A31" s="480"/>
      <c r="B31" s="480"/>
      <c r="C31" s="480"/>
      <c r="D31" s="480"/>
      <c r="E31" s="480"/>
      <c r="F31" s="481"/>
      <c r="G31" s="493" t="e">
        <f>SUM(G28:G30)</f>
        <v>#REF!</v>
      </c>
      <c r="H31" s="480"/>
      <c r="I31" s="480"/>
      <c r="J31" s="480"/>
    </row>
    <row r="32" spans="1:10">
      <c r="A32" s="480"/>
      <c r="B32" s="480"/>
      <c r="C32" s="480"/>
      <c r="D32" s="480"/>
      <c r="E32" s="480"/>
      <c r="F32" s="480"/>
      <c r="G32" s="480"/>
      <c r="H32" s="480"/>
      <c r="I32" s="480"/>
      <c r="J32" s="480"/>
    </row>
    <row r="33" spans="1:10">
      <c r="A33" s="477" t="s">
        <v>258</v>
      </c>
      <c r="B33" s="478"/>
      <c r="C33" s="478"/>
      <c r="D33" s="478"/>
      <c r="E33" s="478"/>
      <c r="F33" s="478"/>
      <c r="G33" s="478"/>
      <c r="H33" s="478"/>
      <c r="I33" s="478"/>
      <c r="J33" s="478"/>
    </row>
    <row r="34" spans="1:10">
      <c r="A34" s="480" t="s">
        <v>203</v>
      </c>
      <c r="B34" s="480"/>
      <c r="C34" s="480"/>
      <c r="D34" s="480"/>
      <c r="E34" s="480"/>
      <c r="F34" s="480"/>
      <c r="G34" s="480"/>
      <c r="H34" s="480"/>
      <c r="I34" s="480"/>
      <c r="J34" s="480"/>
    </row>
    <row r="35" spans="1:10">
      <c r="A35" s="480"/>
      <c r="B35" s="481"/>
      <c r="C35" s="481"/>
      <c r="D35" s="480"/>
      <c r="E35" s="480"/>
      <c r="F35" s="480"/>
      <c r="G35" s="480"/>
      <c r="H35" s="480"/>
      <c r="I35" s="480"/>
      <c r="J35" s="480"/>
    </row>
    <row r="36" spans="1:10">
      <c r="A36" s="480"/>
      <c r="B36" s="482" t="s">
        <v>204</v>
      </c>
      <c r="C36" s="482" t="s">
        <v>11</v>
      </c>
      <c r="D36" s="482" t="s">
        <v>205</v>
      </c>
      <c r="E36" s="480"/>
      <c r="F36" s="480"/>
      <c r="G36" s="480"/>
      <c r="H36" s="480"/>
      <c r="I36" s="480"/>
      <c r="J36" s="480"/>
    </row>
    <row r="37" spans="1:10">
      <c r="A37" s="480" t="s">
        <v>13</v>
      </c>
      <c r="B37" s="481">
        <v>2.23E-2</v>
      </c>
      <c r="C37" s="481">
        <v>4.3900000000000002E-2</v>
      </c>
      <c r="D37" s="481">
        <f>ROUND(B37*C37,5)</f>
        <v>9.7999999999999997E-4</v>
      </c>
      <c r="E37" s="480"/>
      <c r="F37" s="481">
        <f>B37/G41*C37</f>
        <v>1.9064654333008761E-3</v>
      </c>
      <c r="G37" s="480"/>
      <c r="H37" s="480"/>
      <c r="I37" s="480"/>
      <c r="J37" s="480"/>
    </row>
    <row r="38" spans="1:10">
      <c r="A38" s="480" t="s">
        <v>14</v>
      </c>
      <c r="B38" s="483">
        <v>0.49120000000000003</v>
      </c>
      <c r="C38" s="483">
        <v>6.3799999999999996E-2</v>
      </c>
      <c r="D38" s="481">
        <f>ROUND(B38*C38,5)</f>
        <v>3.134E-2</v>
      </c>
      <c r="E38" s="480"/>
      <c r="F38" s="481">
        <f>B38/G41*C38</f>
        <v>6.1029328140214209E-2</v>
      </c>
      <c r="G38" s="480"/>
      <c r="H38" s="480"/>
      <c r="I38" s="480"/>
      <c r="J38" s="480"/>
    </row>
    <row r="39" spans="1:10">
      <c r="A39" s="480" t="s">
        <v>110</v>
      </c>
      <c r="B39" s="481">
        <v>0</v>
      </c>
      <c r="C39" s="481">
        <v>0</v>
      </c>
      <c r="D39" s="481">
        <f>ROUND(B39*C39,5)</f>
        <v>0</v>
      </c>
      <c r="E39" s="480"/>
      <c r="F39" s="480"/>
      <c r="G39" s="484">
        <f>SUM(F37:F38)</f>
        <v>6.2935793573515086E-2</v>
      </c>
      <c r="H39" s="480" t="s">
        <v>206</v>
      </c>
      <c r="I39" s="480"/>
      <c r="J39" s="480"/>
    </row>
    <row r="40" spans="1:10" ht="13.5" thickBot="1">
      <c r="A40" s="480" t="s">
        <v>111</v>
      </c>
      <c r="B40" s="481">
        <v>0.48649999999999999</v>
      </c>
      <c r="C40" s="481">
        <v>0.10100000000000001</v>
      </c>
      <c r="D40" s="481">
        <f>ROUND(B40*C40,5)</f>
        <v>4.9140000000000003E-2</v>
      </c>
      <c r="E40" s="480"/>
      <c r="F40" s="480"/>
      <c r="G40" s="485">
        <f>G39*0.65</f>
        <v>4.0908265822784805E-2</v>
      </c>
      <c r="H40" s="480" t="s">
        <v>207</v>
      </c>
      <c r="I40" s="480"/>
      <c r="J40" s="480"/>
    </row>
    <row r="41" spans="1:10" ht="13.5" thickBot="1">
      <c r="A41" s="486" t="s">
        <v>216</v>
      </c>
      <c r="B41" s="487">
        <f>SUM(B37:B40)</f>
        <v>1</v>
      </c>
      <c r="C41" s="488"/>
      <c r="D41" s="489">
        <f>SUM(D37:D40)</f>
        <v>8.1460000000000005E-2</v>
      </c>
      <c r="E41" s="480"/>
      <c r="F41" s="480"/>
      <c r="G41" s="490">
        <f>SUM(B37:B38)</f>
        <v>0.51350000000000007</v>
      </c>
      <c r="H41" s="480" t="s">
        <v>209</v>
      </c>
      <c r="I41" s="480"/>
      <c r="J41" s="480"/>
    </row>
    <row r="42" spans="1:10" ht="13.5" thickBot="1">
      <c r="A42" s="480"/>
      <c r="B42" s="480"/>
      <c r="C42" s="480"/>
      <c r="D42" s="480"/>
      <c r="E42" s="480"/>
      <c r="F42" s="480"/>
      <c r="I42" s="480"/>
      <c r="J42" s="480"/>
    </row>
    <row r="43" spans="1:10" ht="13.5" thickBot="1">
      <c r="A43" s="486" t="s">
        <v>210</v>
      </c>
      <c r="B43" s="480"/>
      <c r="C43" s="480"/>
      <c r="D43" s="489">
        <f>(D38+D37)*0.65+D39+D40</f>
        <v>7.0148000000000002E-2</v>
      </c>
      <c r="E43" s="480"/>
      <c r="F43" s="480"/>
      <c r="G43" s="480"/>
      <c r="H43" s="486" t="s">
        <v>211</v>
      </c>
      <c r="I43" s="480"/>
      <c r="J43" s="480"/>
    </row>
    <row r="44" spans="1:10">
      <c r="A44" s="480"/>
      <c r="B44" s="480"/>
      <c r="C44" s="480"/>
      <c r="D44" s="480"/>
      <c r="E44" s="480"/>
      <c r="G44" s="491">
        <f>G41*G40</f>
        <v>2.1006394500000001E-2</v>
      </c>
      <c r="H44" s="479" t="s">
        <v>212</v>
      </c>
      <c r="I44" s="480"/>
      <c r="J44" s="480"/>
    </row>
    <row r="45" spans="1:10">
      <c r="A45" s="480"/>
      <c r="B45" s="480"/>
      <c r="C45" s="480"/>
      <c r="D45" s="480"/>
      <c r="E45" s="480"/>
      <c r="F45" s="480"/>
      <c r="G45" s="490">
        <f>D39</f>
        <v>0</v>
      </c>
      <c r="H45" s="479" t="s">
        <v>213</v>
      </c>
      <c r="I45" s="480"/>
      <c r="J45" s="480"/>
    </row>
    <row r="46" spans="1:10">
      <c r="A46" s="480" t="s">
        <v>214</v>
      </c>
      <c r="B46" s="480"/>
      <c r="C46" s="480"/>
      <c r="D46" s="492">
        <f>D43/0.65</f>
        <v>0.10792</v>
      </c>
      <c r="E46" s="480"/>
      <c r="F46" s="480"/>
      <c r="G46" s="490">
        <f>D40</f>
        <v>4.9140000000000003E-2</v>
      </c>
      <c r="H46" s="479" t="s">
        <v>215</v>
      </c>
      <c r="I46" s="480"/>
      <c r="J46" s="480"/>
    </row>
    <row r="47" spans="1:10">
      <c r="A47" s="480"/>
      <c r="B47" s="480"/>
      <c r="C47" s="480"/>
      <c r="D47" s="480"/>
      <c r="E47" s="480"/>
      <c r="F47" s="481"/>
      <c r="G47" s="493">
        <f>SUM(G44:G46)</f>
        <v>7.0146394500000001E-2</v>
      </c>
      <c r="H47" s="480"/>
      <c r="I47" s="480"/>
      <c r="J47" s="480"/>
    </row>
    <row r="48" spans="1:10">
      <c r="A48" s="480"/>
      <c r="B48" s="480"/>
      <c r="C48" s="480"/>
      <c r="D48" s="480"/>
      <c r="E48" s="480"/>
      <c r="F48" s="480"/>
      <c r="G48" s="480"/>
      <c r="H48" s="480"/>
      <c r="I48" s="480"/>
      <c r="J48" s="480"/>
    </row>
    <row r="49" spans="1:10">
      <c r="A49" s="477" t="s">
        <v>219</v>
      </c>
      <c r="B49" s="478"/>
      <c r="C49" s="478"/>
      <c r="D49" s="478"/>
      <c r="E49" s="478"/>
      <c r="F49" s="478"/>
      <c r="G49" s="478"/>
      <c r="H49" s="494"/>
      <c r="I49" s="494"/>
      <c r="J49" s="494"/>
    </row>
    <row r="50" spans="1:10">
      <c r="A50" s="480" t="s">
        <v>203</v>
      </c>
      <c r="B50" s="480"/>
      <c r="C50" s="480"/>
      <c r="D50" s="480"/>
      <c r="E50" s="480"/>
      <c r="F50" s="480"/>
      <c r="G50" s="480"/>
    </row>
    <row r="51" spans="1:10">
      <c r="A51" s="480"/>
      <c r="B51" s="480"/>
      <c r="C51" s="480"/>
      <c r="D51" s="480"/>
      <c r="E51" s="480"/>
      <c r="F51" s="480"/>
      <c r="G51" s="480"/>
    </row>
    <row r="52" spans="1:10">
      <c r="A52" s="480"/>
      <c r="B52" s="482" t="s">
        <v>204</v>
      </c>
      <c r="C52" s="482" t="s">
        <v>11</v>
      </c>
      <c r="D52" s="482" t="s">
        <v>205</v>
      </c>
      <c r="E52" s="480"/>
      <c r="F52" s="480"/>
      <c r="G52" s="480"/>
    </row>
    <row r="53" spans="1:10">
      <c r="A53" s="480" t="s">
        <v>13</v>
      </c>
      <c r="B53" s="481">
        <v>2.0500000000000001E-2</v>
      </c>
      <c r="C53" s="481">
        <v>5.11E-2</v>
      </c>
      <c r="D53" s="481">
        <f>B53*C53</f>
        <v>1.04755E-3</v>
      </c>
      <c r="E53" s="480"/>
      <c r="F53" s="481">
        <f>B53/G57*C53</f>
        <v>2.0324990298797052E-3</v>
      </c>
      <c r="G53" s="480"/>
    </row>
    <row r="54" spans="1:10">
      <c r="A54" s="480" t="s">
        <v>14</v>
      </c>
      <c r="B54" s="481">
        <v>0.49490000000000001</v>
      </c>
      <c r="C54" s="481">
        <v>6.59E-2</v>
      </c>
      <c r="D54" s="481">
        <f>B54*C54</f>
        <v>3.2613910000000003E-2</v>
      </c>
      <c r="E54" s="480"/>
      <c r="F54" s="481">
        <f>B54/G57*C54</f>
        <v>6.3278831975164929E-2</v>
      </c>
      <c r="G54" s="480"/>
    </row>
    <row r="55" spans="1:10">
      <c r="A55" s="480" t="s">
        <v>110</v>
      </c>
      <c r="B55" s="481">
        <v>0</v>
      </c>
      <c r="C55" s="481">
        <v>0</v>
      </c>
      <c r="D55" s="483">
        <f>B55*C55</f>
        <v>0</v>
      </c>
      <c r="E55" s="480"/>
      <c r="F55" s="480"/>
      <c r="G55" s="484">
        <f>SUM(F53:F54)</f>
        <v>6.5311331005044632E-2</v>
      </c>
      <c r="H55" s="480" t="s">
        <v>206</v>
      </c>
    </row>
    <row r="56" spans="1:10" ht="13.5" thickBot="1">
      <c r="A56" s="480" t="s">
        <v>111</v>
      </c>
      <c r="B56" s="481">
        <v>0.48459999999999998</v>
      </c>
      <c r="C56" s="481">
        <v>0.10100000000000001</v>
      </c>
      <c r="D56" s="483">
        <f>B56*C56</f>
        <v>4.8944599999999998E-2</v>
      </c>
      <c r="E56" s="480"/>
      <c r="F56" s="480"/>
      <c r="G56" s="485">
        <f>G55*0.65</f>
        <v>4.2452365153279013E-2</v>
      </c>
      <c r="H56" s="480" t="s">
        <v>207</v>
      </c>
    </row>
    <row r="57" spans="1:10" ht="13.5" thickBot="1">
      <c r="A57" s="486" t="s">
        <v>216</v>
      </c>
      <c r="B57" s="487">
        <f>SUM(B53:B56)</f>
        <v>1</v>
      </c>
      <c r="C57" s="488"/>
      <c r="D57" s="489">
        <f>SUM(D53:D56)</f>
        <v>8.2606060000000009E-2</v>
      </c>
      <c r="E57" s="480"/>
      <c r="F57" s="480"/>
      <c r="G57" s="490">
        <f>SUM(B53:B54)</f>
        <v>0.51539999999999997</v>
      </c>
      <c r="H57" s="480" t="s">
        <v>209</v>
      </c>
    </row>
    <row r="58" spans="1:10" ht="13.5" thickBot="1">
      <c r="A58" s="480"/>
      <c r="B58" s="480"/>
      <c r="C58" s="480"/>
      <c r="D58" s="480"/>
      <c r="E58" s="480"/>
      <c r="F58" s="480"/>
    </row>
    <row r="59" spans="1:10" ht="13.5" thickBot="1">
      <c r="A59" s="486" t="s">
        <v>210</v>
      </c>
      <c r="B59" s="480"/>
      <c r="C59" s="480"/>
      <c r="D59" s="489">
        <f>(D54+D53)*0.65+D55+D56</f>
        <v>7.0824549000000001E-2</v>
      </c>
      <c r="E59" s="480"/>
      <c r="F59" s="480"/>
      <c r="G59" s="480"/>
      <c r="H59" s="486" t="s">
        <v>211</v>
      </c>
    </row>
    <row r="60" spans="1:10">
      <c r="A60" s="480"/>
      <c r="B60" s="480"/>
      <c r="C60" s="480"/>
      <c r="D60" s="480"/>
      <c r="E60" s="480"/>
      <c r="G60" s="491">
        <f>G57*G56</f>
        <v>2.1879949000000003E-2</v>
      </c>
      <c r="H60" s="479" t="s">
        <v>212</v>
      </c>
    </row>
    <row r="61" spans="1:10">
      <c r="A61" s="480"/>
      <c r="B61" s="480"/>
      <c r="C61" s="480"/>
      <c r="D61" s="480"/>
      <c r="E61" s="480"/>
      <c r="F61" s="480"/>
      <c r="G61" s="490">
        <f>D55</f>
        <v>0</v>
      </c>
      <c r="H61" s="479" t="s">
        <v>213</v>
      </c>
    </row>
    <row r="62" spans="1:10">
      <c r="A62" s="480" t="s">
        <v>214</v>
      </c>
      <c r="B62" s="480"/>
      <c r="C62" s="480"/>
      <c r="D62" s="492">
        <f>D59/0.65</f>
        <v>0.10896084461538462</v>
      </c>
      <c r="E62" s="480"/>
      <c r="F62" s="480"/>
      <c r="G62" s="490">
        <f>D56</f>
        <v>4.8944599999999998E-2</v>
      </c>
      <c r="H62" s="479" t="s">
        <v>215</v>
      </c>
    </row>
    <row r="63" spans="1:10">
      <c r="A63" s="480"/>
      <c r="B63" s="480"/>
      <c r="C63" s="480"/>
      <c r="D63" s="480"/>
      <c r="E63" s="480"/>
      <c r="F63" s="481"/>
      <c r="G63" s="493">
        <f>SUM(G60:G62)</f>
        <v>7.0824549000000001E-2</v>
      </c>
    </row>
    <row r="65" spans="1:10">
      <c r="A65" s="477" t="s">
        <v>217</v>
      </c>
      <c r="B65" s="478"/>
      <c r="C65" s="478"/>
      <c r="D65" s="478"/>
      <c r="E65" s="478"/>
      <c r="F65" s="478"/>
      <c r="G65" s="478"/>
      <c r="H65" s="494"/>
      <c r="I65" s="494"/>
      <c r="J65" s="494"/>
    </row>
    <row r="66" spans="1:10">
      <c r="A66" s="480" t="s">
        <v>203</v>
      </c>
      <c r="B66" s="480"/>
      <c r="C66" s="480"/>
      <c r="D66" s="480"/>
      <c r="E66" s="480"/>
      <c r="F66" s="480"/>
      <c r="G66" s="480"/>
    </row>
    <row r="67" spans="1:10">
      <c r="A67" s="480"/>
      <c r="B67" s="480"/>
      <c r="C67" s="480"/>
      <c r="D67" s="480"/>
      <c r="E67" s="480"/>
      <c r="F67" s="480"/>
      <c r="G67" s="480"/>
    </row>
    <row r="68" spans="1:10">
      <c r="A68" s="480"/>
      <c r="B68" s="482" t="s">
        <v>204</v>
      </c>
      <c r="C68" s="482" t="s">
        <v>11</v>
      </c>
      <c r="D68" s="482" t="s">
        <v>205</v>
      </c>
      <c r="E68" s="480"/>
      <c r="F68" s="480"/>
      <c r="G68" s="480"/>
    </row>
    <row r="69" spans="1:10">
      <c r="A69" s="480" t="s">
        <v>13</v>
      </c>
      <c r="B69" s="481">
        <v>3.78E-2</v>
      </c>
      <c r="C69" s="481">
        <v>3.7179407155696363E-2</v>
      </c>
      <c r="D69" s="481">
        <f>B69*C69</f>
        <v>1.4053815904853226E-3</v>
      </c>
      <c r="E69" s="480"/>
      <c r="F69" s="481">
        <f>B69/G73*C69</f>
        <v>2.8547259607664484E-3</v>
      </c>
      <c r="G69" s="480"/>
    </row>
    <row r="70" spans="1:10">
      <c r="A70" s="480" t="s">
        <v>14</v>
      </c>
      <c r="B70" s="481">
        <v>0.45450000000000002</v>
      </c>
      <c r="C70" s="481">
        <v>6.8500000000000005E-2</v>
      </c>
      <c r="D70" s="481">
        <f>B70*C70</f>
        <v>3.1133250000000005E-2</v>
      </c>
      <c r="E70" s="480"/>
      <c r="F70" s="481">
        <f>B70/G73*C70</f>
        <v>6.3240402193784281E-2</v>
      </c>
      <c r="G70" s="480"/>
    </row>
    <row r="71" spans="1:10">
      <c r="A71" s="480" t="s">
        <v>110</v>
      </c>
      <c r="B71" s="481">
        <v>0</v>
      </c>
      <c r="C71" s="481">
        <v>0.48659999999999998</v>
      </c>
      <c r="D71" s="483">
        <f>B71*C71</f>
        <v>0</v>
      </c>
      <c r="E71" s="480"/>
      <c r="F71" s="480"/>
      <c r="G71" s="484">
        <f>SUM(F69:F70)</f>
        <v>6.6095128154550736E-2</v>
      </c>
      <c r="H71" s="480" t="s">
        <v>206</v>
      </c>
    </row>
    <row r="72" spans="1:10" ht="13.5" thickBot="1">
      <c r="A72" s="480" t="s">
        <v>111</v>
      </c>
      <c r="B72" s="481">
        <v>0.50770000000000004</v>
      </c>
      <c r="C72" s="481">
        <v>0.10150000000000001</v>
      </c>
      <c r="D72" s="483">
        <f>B72*C72</f>
        <v>5.1531550000000009E-2</v>
      </c>
      <c r="E72" s="480"/>
      <c r="F72" s="480"/>
      <c r="G72" s="485">
        <f>G71*0.65</f>
        <v>4.2961833300457983E-2</v>
      </c>
      <c r="H72" s="480" t="s">
        <v>207</v>
      </c>
    </row>
    <row r="73" spans="1:10" ht="13.5" thickBot="1">
      <c r="A73" s="486" t="s">
        <v>216</v>
      </c>
      <c r="B73" s="487">
        <f>SUM(B69:B72)</f>
        <v>1</v>
      </c>
      <c r="C73" s="488"/>
      <c r="D73" s="489">
        <f>SUM(D69:D72)</f>
        <v>8.4070181590485335E-2</v>
      </c>
      <c r="E73" s="480"/>
      <c r="F73" s="480"/>
      <c r="G73" s="490">
        <f>SUM(B69:B70)</f>
        <v>0.49230000000000002</v>
      </c>
      <c r="H73" s="480" t="s">
        <v>209</v>
      </c>
    </row>
    <row r="74" spans="1:10" ht="13.5" thickBot="1">
      <c r="A74" s="480"/>
      <c r="B74" s="480"/>
      <c r="C74" s="480"/>
      <c r="D74" s="480"/>
      <c r="E74" s="480"/>
      <c r="F74" s="480"/>
    </row>
    <row r="75" spans="1:10" ht="13.5" thickBot="1">
      <c r="A75" s="486" t="s">
        <v>210</v>
      </c>
      <c r="B75" s="480"/>
      <c r="C75" s="480"/>
      <c r="D75" s="489">
        <f>(D70+D69)*0.65+D71+D72</f>
        <v>7.2681660533815473E-2</v>
      </c>
      <c r="E75" s="480"/>
      <c r="F75" s="480"/>
      <c r="G75" s="480"/>
      <c r="H75" s="486" t="s">
        <v>211</v>
      </c>
    </row>
    <row r="76" spans="1:10">
      <c r="A76" s="480"/>
      <c r="B76" s="480"/>
      <c r="C76" s="480"/>
      <c r="D76" s="480"/>
      <c r="E76" s="480"/>
      <c r="G76" s="491">
        <f>G73*G72</f>
        <v>2.1150110533815467E-2</v>
      </c>
      <c r="H76" s="479" t="s">
        <v>212</v>
      </c>
    </row>
    <row r="77" spans="1:10">
      <c r="A77" s="480"/>
      <c r="B77" s="480"/>
      <c r="C77" s="480"/>
      <c r="D77" s="480"/>
      <c r="E77" s="480"/>
      <c r="F77" s="480"/>
      <c r="G77" s="490">
        <f>D71</f>
        <v>0</v>
      </c>
      <c r="H77" s="479" t="s">
        <v>213</v>
      </c>
    </row>
    <row r="78" spans="1:10">
      <c r="A78" s="480" t="s">
        <v>214</v>
      </c>
      <c r="B78" s="480"/>
      <c r="C78" s="480"/>
      <c r="D78" s="492">
        <f>D75/0.65</f>
        <v>0.11181793928279303</v>
      </c>
      <c r="E78" s="480"/>
      <c r="F78" s="480"/>
      <c r="G78" s="490">
        <f>D72</f>
        <v>5.1531550000000009E-2</v>
      </c>
      <c r="H78" s="479" t="s">
        <v>215</v>
      </c>
    </row>
    <row r="79" spans="1:10">
      <c r="A79" s="480"/>
      <c r="B79" s="480"/>
      <c r="C79" s="480"/>
      <c r="D79" s="480"/>
      <c r="E79" s="480"/>
      <c r="F79" s="481"/>
      <c r="G79" s="493">
        <f>SUM(G76:G78)</f>
        <v>7.2681660533815473E-2</v>
      </c>
    </row>
    <row r="83" spans="1:10">
      <c r="A83" s="477" t="s">
        <v>218</v>
      </c>
      <c r="B83" s="478"/>
      <c r="C83" s="478"/>
      <c r="D83" s="478"/>
      <c r="E83" s="478"/>
      <c r="F83" s="478"/>
      <c r="G83" s="478"/>
      <c r="H83" s="494"/>
      <c r="I83" s="494"/>
      <c r="J83" s="494"/>
    </row>
    <row r="84" spans="1:10">
      <c r="A84" s="480" t="s">
        <v>203</v>
      </c>
      <c r="B84" s="480"/>
      <c r="C84" s="480"/>
      <c r="D84" s="480"/>
      <c r="E84" s="480"/>
      <c r="F84" s="480"/>
      <c r="G84" s="480"/>
    </row>
    <row r="85" spans="1:10">
      <c r="A85" s="480"/>
      <c r="B85" s="480"/>
      <c r="C85" s="480"/>
      <c r="D85" s="480"/>
      <c r="E85" s="480"/>
      <c r="F85" s="480"/>
      <c r="G85" s="480"/>
    </row>
    <row r="86" spans="1:10">
      <c r="A86" s="480"/>
      <c r="B86" s="482" t="s">
        <v>204</v>
      </c>
      <c r="C86" s="482" t="s">
        <v>11</v>
      </c>
      <c r="D86" s="482" t="s">
        <v>205</v>
      </c>
      <c r="E86" s="480"/>
      <c r="F86" s="480"/>
      <c r="G86" s="480"/>
    </row>
    <row r="87" spans="1:10">
      <c r="A87" s="480" t="s">
        <v>13</v>
      </c>
      <c r="B87" s="481">
        <v>6.6000000000000003E-2</v>
      </c>
      <c r="C87" s="481">
        <v>3.8374995005847172E-2</v>
      </c>
      <c r="D87" s="481">
        <f>B87*C87</f>
        <v>2.5327496703859134E-3</v>
      </c>
      <c r="E87" s="480"/>
      <c r="F87" s="481">
        <f>B87/G91*C87</f>
        <v>4.5800174871354678E-3</v>
      </c>
      <c r="G87" s="480"/>
    </row>
    <row r="88" spans="1:10">
      <c r="A88" s="480" t="s">
        <v>14</v>
      </c>
      <c r="B88" s="481">
        <v>0.48699999999999999</v>
      </c>
      <c r="C88" s="481">
        <v>6.7900000000000002E-2</v>
      </c>
      <c r="D88" s="481">
        <f>B88*C88</f>
        <v>3.3067300000000001E-2</v>
      </c>
      <c r="E88" s="480"/>
      <c r="F88" s="481">
        <f>B88/G91*C88</f>
        <v>5.9796202531645574E-2</v>
      </c>
      <c r="G88" s="480"/>
    </row>
    <row r="89" spans="1:10">
      <c r="A89" s="480" t="s">
        <v>110</v>
      </c>
      <c r="B89" s="481">
        <v>2.9999999999999997E-4</v>
      </c>
      <c r="C89" s="481">
        <v>8.6099999999999996E-2</v>
      </c>
      <c r="D89" s="483">
        <f>B89*C89</f>
        <v>2.5829999999999995E-5</v>
      </c>
      <c r="E89" s="480"/>
      <c r="F89" s="480"/>
      <c r="G89" s="484">
        <f>SUM(F87:F88)</f>
        <v>6.4376220018781044E-2</v>
      </c>
      <c r="H89" s="480" t="s">
        <v>206</v>
      </c>
    </row>
    <row r="90" spans="1:10" ht="13.5" thickBot="1">
      <c r="A90" s="480" t="s">
        <v>111</v>
      </c>
      <c r="B90" s="481">
        <v>0.44669999999999999</v>
      </c>
      <c r="C90" s="481">
        <v>0.10150000000000001</v>
      </c>
      <c r="D90" s="483">
        <f>B90*C90</f>
        <v>4.534005E-2</v>
      </c>
      <c r="E90" s="480"/>
      <c r="F90" s="480"/>
      <c r="G90" s="485">
        <f>G89*0.65</f>
        <v>4.1844543012207677E-2</v>
      </c>
      <c r="H90" s="480" t="s">
        <v>207</v>
      </c>
    </row>
    <row r="91" spans="1:10" ht="13.5" thickBot="1">
      <c r="A91" s="486" t="s">
        <v>216</v>
      </c>
      <c r="B91" s="487">
        <f>SUM(B87:B90)</f>
        <v>0.99999999999999989</v>
      </c>
      <c r="C91" s="488"/>
      <c r="D91" s="489">
        <f>SUM(D87:D90)</f>
        <v>8.0965929670385905E-2</v>
      </c>
      <c r="E91" s="480"/>
      <c r="F91" s="480"/>
      <c r="G91" s="490">
        <f>SUM(B87:B88)</f>
        <v>0.55299999999999994</v>
      </c>
      <c r="H91" s="480" t="s">
        <v>209</v>
      </c>
    </row>
    <row r="92" spans="1:10" ht="13.5" thickBot="1">
      <c r="A92" s="480"/>
      <c r="B92" s="480"/>
      <c r="C92" s="480"/>
      <c r="D92" s="480"/>
      <c r="E92" s="480"/>
      <c r="F92" s="480"/>
    </row>
    <row r="93" spans="1:10" ht="13.5" thickBot="1">
      <c r="A93" s="486" t="s">
        <v>210</v>
      </c>
      <c r="B93" s="480"/>
      <c r="C93" s="480"/>
      <c r="D93" s="489">
        <f>(D88+D87)*0.65+D89+D90</f>
        <v>6.8505912285750842E-2</v>
      </c>
      <c r="E93" s="480"/>
      <c r="F93" s="480"/>
      <c r="G93" s="480"/>
      <c r="H93" s="486" t="s">
        <v>211</v>
      </c>
    </row>
    <row r="94" spans="1:10">
      <c r="A94" s="480"/>
      <c r="B94" s="480"/>
      <c r="C94" s="480"/>
      <c r="D94" s="480"/>
      <c r="E94" s="480"/>
      <c r="G94" s="491">
        <f>G91*G90</f>
        <v>2.3140032285750844E-2</v>
      </c>
      <c r="H94" s="479" t="s">
        <v>212</v>
      </c>
    </row>
    <row r="95" spans="1:10">
      <c r="A95" s="480"/>
      <c r="B95" s="480"/>
      <c r="C95" s="480"/>
      <c r="D95" s="480"/>
      <c r="E95" s="480"/>
      <c r="F95" s="480"/>
      <c r="G95" s="490">
        <f>D89</f>
        <v>2.5829999999999995E-5</v>
      </c>
      <c r="H95" s="479" t="s">
        <v>213</v>
      </c>
    </row>
    <row r="96" spans="1:10">
      <c r="A96" s="480" t="s">
        <v>214</v>
      </c>
      <c r="B96" s="480"/>
      <c r="C96" s="480"/>
      <c r="D96" s="492">
        <f>D93/0.65</f>
        <v>0.10539371120884744</v>
      </c>
      <c r="E96" s="480"/>
      <c r="F96" s="480"/>
      <c r="G96" s="490">
        <f>D90</f>
        <v>4.534005E-2</v>
      </c>
      <c r="H96" s="479" t="s">
        <v>215</v>
      </c>
    </row>
    <row r="97" spans="1:10">
      <c r="A97" s="480"/>
      <c r="B97" s="480"/>
      <c r="C97" s="480"/>
      <c r="D97" s="480"/>
      <c r="E97" s="480"/>
      <c r="F97" s="481"/>
      <c r="G97" s="493">
        <f>SUM(G94:G96)</f>
        <v>6.8505912285750842E-2</v>
      </c>
    </row>
    <row r="101" spans="1:10">
      <c r="A101" s="495" t="s">
        <v>220</v>
      </c>
      <c r="B101" s="496"/>
      <c r="C101" s="496"/>
      <c r="D101" s="496"/>
      <c r="E101" s="496"/>
      <c r="F101" s="496"/>
      <c r="G101" s="496"/>
      <c r="H101" s="496"/>
      <c r="I101" s="496"/>
      <c r="J101" s="496"/>
    </row>
    <row r="102" spans="1:10">
      <c r="A102" s="480" t="s">
        <v>203</v>
      </c>
      <c r="B102" s="480"/>
      <c r="C102" s="480"/>
      <c r="D102" s="480"/>
      <c r="E102" s="480"/>
      <c r="F102" s="480"/>
      <c r="G102" s="480"/>
      <c r="H102" s="480"/>
      <c r="I102" s="480"/>
      <c r="J102" s="480"/>
    </row>
    <row r="103" spans="1:10">
      <c r="A103" s="480"/>
      <c r="B103" s="481"/>
      <c r="C103" s="481"/>
      <c r="D103" s="480"/>
      <c r="E103" s="480"/>
      <c r="F103" s="480"/>
      <c r="G103" s="480"/>
      <c r="H103" s="480"/>
      <c r="I103" s="480"/>
      <c r="J103" s="480"/>
    </row>
    <row r="104" spans="1:10">
      <c r="A104" s="480"/>
      <c r="B104" s="482" t="s">
        <v>204</v>
      </c>
      <c r="C104" s="482" t="s">
        <v>11</v>
      </c>
      <c r="D104" s="482" t="s">
        <v>205</v>
      </c>
      <c r="E104" s="480"/>
      <c r="F104" s="480"/>
      <c r="G104" s="480"/>
      <c r="H104" s="480"/>
      <c r="I104" s="480"/>
      <c r="J104" s="480"/>
    </row>
    <row r="105" spans="1:10">
      <c r="A105" s="480" t="s">
        <v>13</v>
      </c>
      <c r="B105" s="483">
        <v>3.95E-2</v>
      </c>
      <c r="C105" s="483">
        <v>2.47E-2</v>
      </c>
      <c r="D105" s="481">
        <f>ROUND(B105*C105,4)</f>
        <v>1E-3</v>
      </c>
      <c r="E105" s="480"/>
      <c r="F105" s="481">
        <f>B105/G109*C105</f>
        <v>1.8067592592592595E-3</v>
      </c>
      <c r="G105" s="480"/>
      <c r="H105" s="480"/>
      <c r="I105" s="480"/>
      <c r="J105" s="480"/>
    </row>
    <row r="106" spans="1:10">
      <c r="A106" s="480" t="s">
        <v>14</v>
      </c>
      <c r="B106" s="483">
        <v>0.50049999999999994</v>
      </c>
      <c r="C106" s="483">
        <v>6.7000000000000004E-2</v>
      </c>
      <c r="D106" s="481">
        <f>ROUND(B106*C106,4)</f>
        <v>3.3500000000000002E-2</v>
      </c>
      <c r="E106" s="480"/>
      <c r="F106" s="481">
        <f>B106/G109*C106</f>
        <v>6.2099074074074084E-2</v>
      </c>
      <c r="G106" s="480"/>
      <c r="H106" s="480"/>
      <c r="I106" s="480"/>
      <c r="J106" s="480"/>
    </row>
    <row r="107" spans="1:10">
      <c r="A107" s="480" t="s">
        <v>110</v>
      </c>
      <c r="B107" s="483">
        <v>0</v>
      </c>
      <c r="C107" s="483">
        <v>0</v>
      </c>
      <c r="D107" s="481">
        <f>ROUND(B107*C107,4)</f>
        <v>0</v>
      </c>
      <c r="E107" s="480"/>
      <c r="F107" s="480"/>
      <c r="G107" s="484">
        <f>SUM(F105:F106)</f>
        <v>6.3905833333333342E-2</v>
      </c>
      <c r="H107" s="480" t="s">
        <v>206</v>
      </c>
      <c r="I107" s="480"/>
      <c r="J107" s="480"/>
    </row>
    <row r="108" spans="1:10" ht="13.5" thickBot="1">
      <c r="A108" s="480" t="s">
        <v>111</v>
      </c>
      <c r="B108" s="481">
        <f>45%+1%</f>
        <v>0.46</v>
      </c>
      <c r="C108" s="481">
        <v>0.10100000000000001</v>
      </c>
      <c r="D108" s="481">
        <f>ROUND(B108*C108,4)</f>
        <v>4.65E-2</v>
      </c>
      <c r="E108" s="480"/>
      <c r="F108" s="480"/>
      <c r="G108" s="485">
        <f>G107*0.65</f>
        <v>4.1538791666666672E-2</v>
      </c>
      <c r="H108" s="480" t="s">
        <v>207</v>
      </c>
      <c r="I108" s="480"/>
      <c r="J108" s="480"/>
    </row>
    <row r="109" spans="1:10" ht="13.5" thickBot="1">
      <c r="A109" s="486" t="s">
        <v>208</v>
      </c>
      <c r="B109" s="487">
        <f>SUM(B105:B108)</f>
        <v>1</v>
      </c>
      <c r="C109" s="488"/>
      <c r="D109" s="489">
        <f>SUM(D105:D108)</f>
        <v>8.1000000000000003E-2</v>
      </c>
      <c r="E109" s="480"/>
      <c r="F109" s="480"/>
      <c r="G109" s="490">
        <f>SUM(B105:B106)</f>
        <v>0.53999999999999992</v>
      </c>
      <c r="H109" s="480" t="s">
        <v>209</v>
      </c>
      <c r="I109" s="480"/>
      <c r="J109" s="480"/>
    </row>
    <row r="110" spans="1:10" ht="13.5" thickBot="1">
      <c r="A110" s="480"/>
      <c r="B110" s="480"/>
      <c r="C110" s="480"/>
      <c r="D110" s="480"/>
      <c r="E110" s="480"/>
      <c r="F110" s="480"/>
      <c r="I110" s="480"/>
      <c r="J110" s="480"/>
    </row>
    <row r="111" spans="1:10" ht="13.5" thickBot="1">
      <c r="A111" s="486" t="s">
        <v>210</v>
      </c>
      <c r="B111" s="480"/>
      <c r="C111" s="480"/>
      <c r="D111" s="489">
        <f>(D106+D105)*0.65+D107+D108</f>
        <v>6.8925E-2</v>
      </c>
      <c r="E111" s="480"/>
      <c r="F111" s="480"/>
      <c r="G111" s="480"/>
      <c r="H111" s="486" t="s">
        <v>211</v>
      </c>
      <c r="I111" s="480"/>
      <c r="J111" s="480"/>
    </row>
    <row r="112" spans="1:10">
      <c r="A112" s="480"/>
      <c r="B112" s="480"/>
      <c r="C112" s="480"/>
      <c r="D112" s="480"/>
      <c r="E112" s="480"/>
      <c r="G112" s="491">
        <f>G109*G108</f>
        <v>2.2430947499999999E-2</v>
      </c>
      <c r="H112" s="479" t="s">
        <v>212</v>
      </c>
      <c r="I112" s="480"/>
      <c r="J112" s="480"/>
    </row>
    <row r="113" spans="1:10">
      <c r="A113" s="480"/>
      <c r="B113" s="480"/>
      <c r="C113" s="480"/>
      <c r="D113" s="480"/>
      <c r="E113" s="480"/>
      <c r="F113" s="480"/>
      <c r="G113" s="490">
        <f>D107</f>
        <v>0</v>
      </c>
      <c r="H113" s="479" t="s">
        <v>213</v>
      </c>
      <c r="I113" s="480"/>
      <c r="J113" s="480"/>
    </row>
    <row r="114" spans="1:10">
      <c r="A114" s="480" t="s">
        <v>214</v>
      </c>
      <c r="B114" s="480"/>
      <c r="C114" s="480"/>
      <c r="D114" s="492">
        <f>D111/0.65</f>
        <v>0.10603846153846154</v>
      </c>
      <c r="E114" s="480"/>
      <c r="F114" s="480"/>
      <c r="G114" s="490">
        <f>D108</f>
        <v>4.65E-2</v>
      </c>
      <c r="H114" s="479" t="s">
        <v>215</v>
      </c>
      <c r="I114" s="480"/>
      <c r="J114" s="480"/>
    </row>
    <row r="115" spans="1:10">
      <c r="A115" s="480"/>
      <c r="B115" s="480"/>
      <c r="C115" s="480"/>
      <c r="D115" s="480"/>
      <c r="E115" s="480"/>
      <c r="F115" s="481"/>
      <c r="G115" s="493">
        <f>SUM(G112:G114)</f>
        <v>6.8930947500000006E-2</v>
      </c>
      <c r="H115" s="480"/>
      <c r="I115" s="480"/>
      <c r="J115" s="480"/>
    </row>
    <row r="116" spans="1:10">
      <c r="B116" s="483"/>
      <c r="C116" s="483"/>
    </row>
    <row r="119" spans="1:10">
      <c r="A119" s="495" t="s">
        <v>221</v>
      </c>
      <c r="B119" s="496"/>
      <c r="C119" s="496"/>
      <c r="D119" s="496"/>
      <c r="E119" s="496"/>
      <c r="F119" s="496"/>
      <c r="G119" s="496"/>
      <c r="H119" s="496"/>
      <c r="I119" s="496"/>
      <c r="J119" s="496"/>
    </row>
    <row r="120" spans="1:10">
      <c r="A120" s="480" t="s">
        <v>203</v>
      </c>
      <c r="B120" s="480"/>
      <c r="C120" s="480"/>
      <c r="D120" s="480"/>
      <c r="E120" s="480"/>
      <c r="F120" s="480"/>
      <c r="G120" s="480"/>
      <c r="H120" s="480"/>
      <c r="I120" s="480"/>
      <c r="J120" s="480"/>
    </row>
    <row r="121" spans="1:10">
      <c r="A121" s="480"/>
      <c r="B121" s="481"/>
      <c r="C121" s="481"/>
      <c r="D121" s="480"/>
      <c r="E121" s="480"/>
      <c r="F121" s="480"/>
      <c r="G121" s="480"/>
      <c r="H121" s="480"/>
      <c r="I121" s="480"/>
      <c r="J121" s="480"/>
    </row>
    <row r="122" spans="1:10">
      <c r="A122" s="480"/>
      <c r="B122" s="482" t="s">
        <v>204</v>
      </c>
      <c r="C122" s="482" t="s">
        <v>11</v>
      </c>
      <c r="D122" s="482" t="s">
        <v>205</v>
      </c>
      <c r="E122" s="480"/>
      <c r="F122" s="480"/>
      <c r="G122" s="480"/>
      <c r="H122" s="480"/>
      <c r="I122" s="480"/>
      <c r="J122" s="480"/>
    </row>
    <row r="123" spans="1:10">
      <c r="A123" s="480" t="s">
        <v>13</v>
      </c>
      <c r="B123" s="481">
        <v>4.9299999999999997E-2</v>
      </c>
      <c r="C123" s="481">
        <v>4.0899999999999999E-2</v>
      </c>
      <c r="D123" s="481">
        <f>ROUND(B123*C123,4)</f>
        <v>2E-3</v>
      </c>
      <c r="E123" s="480"/>
      <c r="F123" s="481">
        <f>B123/G127*C123</f>
        <v>3.7360941263664994E-3</v>
      </c>
      <c r="G123" s="480"/>
      <c r="H123" s="480"/>
      <c r="I123" s="480"/>
      <c r="J123" s="480"/>
    </row>
    <row r="124" spans="1:10">
      <c r="A124" s="480" t="s">
        <v>14</v>
      </c>
      <c r="B124" s="483">
        <f>50.04%-1%</f>
        <v>0.49039999999999995</v>
      </c>
      <c r="C124" s="481">
        <v>6.9000000000000006E-2</v>
      </c>
      <c r="D124" s="481">
        <f>ROUND(B124*C124,4)</f>
        <v>3.3799999999999997E-2</v>
      </c>
      <c r="E124" s="480"/>
      <c r="F124" s="481">
        <f>B124/G127*C124</f>
        <v>6.2697053918843809E-2</v>
      </c>
      <c r="G124" s="480"/>
      <c r="H124" s="480"/>
      <c r="I124" s="480"/>
      <c r="J124" s="480"/>
    </row>
    <row r="125" spans="1:10">
      <c r="A125" s="480" t="s">
        <v>110</v>
      </c>
      <c r="B125" s="481">
        <v>2.9999999999999997E-4</v>
      </c>
      <c r="C125" s="481">
        <v>8.6099999999999996E-2</v>
      </c>
      <c r="D125" s="481">
        <f>ROUND(B125*C125,4)</f>
        <v>0</v>
      </c>
      <c r="E125" s="480"/>
      <c r="F125" s="480"/>
      <c r="G125" s="484">
        <f>SUM(F123:F124)</f>
        <v>6.6433148045210305E-2</v>
      </c>
      <c r="H125" s="480" t="s">
        <v>206</v>
      </c>
      <c r="I125" s="480"/>
      <c r="J125" s="480"/>
    </row>
    <row r="126" spans="1:10" ht="13.5" thickBot="1">
      <c r="A126" s="480" t="s">
        <v>111</v>
      </c>
      <c r="B126" s="481">
        <f>45%+1%</f>
        <v>0.46</v>
      </c>
      <c r="C126" s="481">
        <v>0.10150000000000001</v>
      </c>
      <c r="D126" s="481">
        <f>ROUND(B126*C126,4)</f>
        <v>4.6699999999999998E-2</v>
      </c>
      <c r="E126" s="480"/>
      <c r="F126" s="480"/>
      <c r="G126" s="485">
        <f>G125*0.65</f>
        <v>4.3181546229386698E-2</v>
      </c>
      <c r="H126" s="480" t="s">
        <v>207</v>
      </c>
      <c r="I126" s="480"/>
      <c r="J126" s="480"/>
    </row>
    <row r="127" spans="1:10" ht="13.5" thickBot="1">
      <c r="A127" s="486" t="s">
        <v>208</v>
      </c>
      <c r="B127" s="487">
        <f>SUM(B123:B126)</f>
        <v>1</v>
      </c>
      <c r="C127" s="488"/>
      <c r="D127" s="489">
        <f>SUM(D123:D126)</f>
        <v>8.249999999999999E-2</v>
      </c>
      <c r="E127" s="480"/>
      <c r="F127" s="480"/>
      <c r="G127" s="490">
        <f>SUM(B123:B124)</f>
        <v>0.53969999999999996</v>
      </c>
      <c r="H127" s="480" t="s">
        <v>209</v>
      </c>
      <c r="I127" s="480"/>
      <c r="J127" s="480"/>
    </row>
    <row r="128" spans="1:10" ht="13.5" thickBot="1">
      <c r="A128" s="480"/>
      <c r="B128" s="480"/>
      <c r="C128" s="480"/>
      <c r="D128" s="480"/>
      <c r="E128" s="480"/>
      <c r="F128" s="480"/>
      <c r="I128" s="480"/>
      <c r="J128" s="480"/>
    </row>
    <row r="129" spans="1:10" ht="13.5" thickBot="1">
      <c r="A129" s="486" t="s">
        <v>210</v>
      </c>
      <c r="B129" s="480"/>
      <c r="C129" s="480"/>
      <c r="D129" s="489">
        <f>(D124+D123)*0.65+D125+D126</f>
        <v>6.9970000000000004E-2</v>
      </c>
      <c r="E129" s="480"/>
      <c r="F129" s="480"/>
      <c r="G129" s="480"/>
      <c r="H129" s="486" t="s">
        <v>211</v>
      </c>
      <c r="I129" s="480"/>
      <c r="J129" s="480"/>
    </row>
    <row r="130" spans="1:10">
      <c r="A130" s="480"/>
      <c r="B130" s="480"/>
      <c r="C130" s="480"/>
      <c r="D130" s="480"/>
      <c r="E130" s="480"/>
      <c r="G130" s="491">
        <f>G127*G126</f>
        <v>2.3305080499999999E-2</v>
      </c>
      <c r="H130" s="479" t="s">
        <v>212</v>
      </c>
      <c r="I130" s="480"/>
      <c r="J130" s="480"/>
    </row>
    <row r="131" spans="1:10">
      <c r="A131" s="480"/>
      <c r="B131" s="480"/>
      <c r="C131" s="480"/>
      <c r="D131" s="480"/>
      <c r="E131" s="480"/>
      <c r="F131" s="480"/>
      <c r="G131" s="490">
        <f>D125</f>
        <v>0</v>
      </c>
      <c r="H131" s="479" t="s">
        <v>213</v>
      </c>
      <c r="I131" s="480"/>
      <c r="J131" s="480"/>
    </row>
    <row r="132" spans="1:10">
      <c r="A132" s="480" t="s">
        <v>214</v>
      </c>
      <c r="B132" s="480"/>
      <c r="C132" s="480"/>
      <c r="D132" s="492">
        <f>D129/0.65</f>
        <v>0.10764615384615385</v>
      </c>
      <c r="E132" s="480"/>
      <c r="F132" s="480"/>
      <c r="G132" s="490">
        <f>D126</f>
        <v>4.6699999999999998E-2</v>
      </c>
      <c r="H132" s="479" t="s">
        <v>215</v>
      </c>
      <c r="I132" s="480"/>
      <c r="J132" s="480"/>
    </row>
    <row r="133" spans="1:10">
      <c r="A133" s="480"/>
      <c r="B133" s="480"/>
      <c r="C133" s="480"/>
      <c r="D133" s="480"/>
      <c r="E133" s="480"/>
      <c r="F133" s="481"/>
      <c r="G133" s="493">
        <f>SUM(G130:G132)</f>
        <v>7.0005080499999997E-2</v>
      </c>
      <c r="H133" s="480"/>
      <c r="I133" s="480"/>
      <c r="J133" s="480"/>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Y4" s="472" t="s">
        <v>198</v>
      </c>
    </row>
    <row r="5" spans="1:26" ht="33.75">
      <c r="A5" s="361">
        <v>1</v>
      </c>
      <c r="B5" s="362" t="s">
        <v>127</v>
      </c>
      <c r="C5" s="362" t="s">
        <v>100</v>
      </c>
      <c r="D5" s="362" t="s">
        <v>57</v>
      </c>
      <c r="E5" s="362" t="s">
        <v>104</v>
      </c>
      <c r="F5" s="362" t="s">
        <v>117</v>
      </c>
      <c r="G5" s="362" t="s">
        <v>300</v>
      </c>
      <c r="H5" s="362" t="s">
        <v>301</v>
      </c>
      <c r="I5" s="362" t="s">
        <v>80</v>
      </c>
      <c r="J5" s="363" t="e">
        <f>'2 - CapStructure'!#REF!</f>
        <v>#REF!</v>
      </c>
      <c r="K5" s="363" t="e">
        <f>'2 - CapStructure'!#REF!</f>
        <v>#REF!</v>
      </c>
      <c r="L5" s="363" t="e">
        <f>'2 - CapStructure'!#REF!</f>
        <v>#REF!</v>
      </c>
      <c r="M5" s="363">
        <f>'2 - CapStructure'!C6</f>
        <v>44196</v>
      </c>
      <c r="N5" s="363">
        <f>'2 - CapStructure'!D6</f>
        <v>44227</v>
      </c>
      <c r="O5" s="363">
        <f>'2 - CapStructure'!E6</f>
        <v>44255</v>
      </c>
      <c r="P5" s="363">
        <f>'2 - CapStructure'!F6</f>
        <v>44286</v>
      </c>
      <c r="Q5" s="363">
        <f>'2 - CapStructure'!G6</f>
        <v>44316</v>
      </c>
      <c r="R5" s="363">
        <f>'2 - CapStructure'!H6</f>
        <v>44347</v>
      </c>
      <c r="S5" s="363">
        <f>'2 - CapStructure'!I6</f>
        <v>44377</v>
      </c>
      <c r="T5" s="363">
        <f>'2 - CapStructure'!J6</f>
        <v>44408</v>
      </c>
      <c r="U5" s="363">
        <f>'2 - CapStructure'!K6</f>
        <v>44439</v>
      </c>
      <c r="V5" s="363">
        <f>'2 - CapStructure'!L6</f>
        <v>44469</v>
      </c>
      <c r="Y5" s="473" t="s">
        <v>38</v>
      </c>
      <c r="Z5" s="473" t="s">
        <v>199</v>
      </c>
    </row>
    <row r="6" spans="1:26">
      <c r="A6" s="133">
        <v>2</v>
      </c>
      <c r="B6" s="137" t="s">
        <v>23</v>
      </c>
      <c r="C6" s="282">
        <v>7.3499999999999996E-2</v>
      </c>
      <c r="D6" s="283">
        <v>34953</v>
      </c>
      <c r="E6" s="283">
        <v>42258</v>
      </c>
      <c r="F6" s="272">
        <f t="shared" ref="F6:F27" si="0">ROUND(((+J6+V6)+(SUM(K6:U6)*2))/24,0)</f>
        <v>7083333</v>
      </c>
      <c r="G6" s="284">
        <v>100</v>
      </c>
      <c r="H6" s="182">
        <f t="shared" ref="H6:H27" si="1">ROUND(YIELD(D6,E6,C6,G6,100,2,2),4)</f>
        <v>7.3499999999999996E-2</v>
      </c>
      <c r="I6" s="272">
        <f t="shared" ref="I6:I27" si="2">ROUND(+H6*F6,0)</f>
        <v>520625</v>
      </c>
      <c r="J6" s="272">
        <v>10000000</v>
      </c>
      <c r="K6" s="272">
        <v>10000000</v>
      </c>
      <c r="L6" s="272">
        <v>10000000</v>
      </c>
      <c r="M6" s="272">
        <v>10000000</v>
      </c>
      <c r="N6" s="272">
        <v>10000000</v>
      </c>
      <c r="O6" s="272">
        <v>10000000</v>
      </c>
      <c r="P6" s="272">
        <v>10000000</v>
      </c>
      <c r="Q6" s="272">
        <v>10000000</v>
      </c>
      <c r="R6" s="272">
        <v>10000000</v>
      </c>
      <c r="S6" s="272"/>
      <c r="T6" s="272"/>
      <c r="U6" s="272"/>
      <c r="V6" s="272"/>
      <c r="Y6" s="272">
        <f t="shared" ref="Y6:Y27" si="3">H6*V6</f>
        <v>0</v>
      </c>
    </row>
    <row r="7" spans="1:26" s="27" customFormat="1">
      <c r="A7" s="133">
        <f t="shared" ref="A7:A22" si="4">A6+1</f>
        <v>3</v>
      </c>
      <c r="B7" s="137" t="s">
        <v>23</v>
      </c>
      <c r="C7" s="282">
        <v>7.3599999999999999E-2</v>
      </c>
      <c r="D7" s="283">
        <v>34953</v>
      </c>
      <c r="E7" s="283">
        <v>42262</v>
      </c>
      <c r="F7" s="272">
        <f t="shared" si="0"/>
        <v>1416667</v>
      </c>
      <c r="G7" s="284">
        <v>100</v>
      </c>
      <c r="H7" s="182">
        <f t="shared" si="1"/>
        <v>7.3599999999999999E-2</v>
      </c>
      <c r="I7" s="272">
        <f t="shared" si="2"/>
        <v>104267</v>
      </c>
      <c r="J7" s="272">
        <v>2000000</v>
      </c>
      <c r="K7" s="272">
        <v>2000000</v>
      </c>
      <c r="L7" s="272">
        <v>2000000</v>
      </c>
      <c r="M7" s="272">
        <v>2000000</v>
      </c>
      <c r="N7" s="272">
        <v>2000000</v>
      </c>
      <c r="O7" s="272">
        <v>2000000</v>
      </c>
      <c r="P7" s="272">
        <v>2000000</v>
      </c>
      <c r="Q7" s="272">
        <v>2000000</v>
      </c>
      <c r="R7" s="272">
        <v>2000000</v>
      </c>
      <c r="S7" s="272"/>
      <c r="T7" s="272"/>
      <c r="U7" s="272"/>
      <c r="V7" s="272"/>
      <c r="Y7" s="272">
        <f t="shared" si="3"/>
        <v>0</v>
      </c>
      <c r="Z7" s="23"/>
    </row>
    <row r="8" spans="1:26" s="27" customFormat="1">
      <c r="A8" s="133">
        <f t="shared" si="4"/>
        <v>4</v>
      </c>
      <c r="B8" s="137" t="s">
        <v>95</v>
      </c>
      <c r="C8" s="282">
        <v>5.1970000000000002E-2</v>
      </c>
      <c r="D8" s="283">
        <v>38637</v>
      </c>
      <c r="E8" s="283">
        <v>42278</v>
      </c>
      <c r="F8" s="272">
        <f t="shared" si="0"/>
        <v>68750000</v>
      </c>
      <c r="G8" s="284">
        <v>100</v>
      </c>
      <c r="H8" s="182">
        <f t="shared" si="1"/>
        <v>5.1999999999999998E-2</v>
      </c>
      <c r="I8" s="272">
        <f>ROUND(+H8*F8,0)</f>
        <v>3575000</v>
      </c>
      <c r="J8" s="272">
        <v>150000000</v>
      </c>
      <c r="K8" s="272">
        <v>150000000</v>
      </c>
      <c r="L8" s="272">
        <v>150000000</v>
      </c>
      <c r="M8" s="272">
        <v>150000000</v>
      </c>
      <c r="N8" s="272">
        <v>150000000</v>
      </c>
      <c r="O8" s="272">
        <v>150000000</v>
      </c>
      <c r="P8" s="272"/>
      <c r="Q8" s="272"/>
      <c r="R8" s="272"/>
      <c r="S8" s="272"/>
      <c r="T8" s="272"/>
      <c r="U8" s="272"/>
      <c r="V8" s="272"/>
      <c r="Y8" s="272">
        <f t="shared" si="3"/>
        <v>0</v>
      </c>
      <c r="Z8" s="23"/>
    </row>
    <row r="9" spans="1:26" s="27" customFormat="1">
      <c r="A9" s="133">
        <f t="shared" si="4"/>
        <v>5</v>
      </c>
      <c r="B9" s="137" t="s">
        <v>95</v>
      </c>
      <c r="C9" s="282">
        <v>6.7500000000000004E-2</v>
      </c>
      <c r="D9" s="283">
        <v>39836</v>
      </c>
      <c r="E9" s="283">
        <v>42384</v>
      </c>
      <c r="F9" s="272">
        <f t="shared" si="0"/>
        <v>114583333</v>
      </c>
      <c r="G9" s="284">
        <v>100</v>
      </c>
      <c r="H9" s="182">
        <f t="shared" si="1"/>
        <v>6.7500000000000004E-2</v>
      </c>
      <c r="I9" s="272">
        <f>ROUND(+H9*F9,0)</f>
        <v>7734375</v>
      </c>
      <c r="J9" s="272">
        <v>250000000</v>
      </c>
      <c r="K9" s="272">
        <v>250000000</v>
      </c>
      <c r="L9" s="272">
        <v>250000000</v>
      </c>
      <c r="M9" s="272">
        <v>250000000</v>
      </c>
      <c r="N9" s="272">
        <v>250000000</v>
      </c>
      <c r="O9" s="272">
        <v>250000000</v>
      </c>
      <c r="P9" s="272"/>
      <c r="Q9" s="272"/>
      <c r="R9" s="272"/>
      <c r="S9" s="272"/>
      <c r="T9" s="272"/>
      <c r="U9" s="272"/>
      <c r="V9" s="272"/>
      <c r="Y9" s="272">
        <f t="shared" si="3"/>
        <v>0</v>
      </c>
      <c r="Z9" s="23"/>
    </row>
    <row r="10" spans="1:26" s="27" customFormat="1">
      <c r="A10" s="133">
        <f t="shared" si="4"/>
        <v>6</v>
      </c>
      <c r="B10" s="137" t="s">
        <v>21</v>
      </c>
      <c r="C10" s="282">
        <v>6.7400000000000002E-2</v>
      </c>
      <c r="D10" s="283">
        <v>35961</v>
      </c>
      <c r="E10" s="283">
        <v>43266</v>
      </c>
      <c r="F10" s="272">
        <f t="shared" si="0"/>
        <v>200000000</v>
      </c>
      <c r="G10" s="284">
        <v>100</v>
      </c>
      <c r="H10" s="182">
        <f t="shared" si="1"/>
        <v>6.7400000000000002E-2</v>
      </c>
      <c r="I10" s="272">
        <f t="shared" si="2"/>
        <v>13480000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Y10" s="272">
        <f t="shared" si="3"/>
        <v>13480000</v>
      </c>
    </row>
    <row r="11" spans="1:26" s="28" customFormat="1">
      <c r="A11" s="133">
        <f t="shared" si="4"/>
        <v>7</v>
      </c>
      <c r="B11" s="137" t="s">
        <v>23</v>
      </c>
      <c r="C11" s="282">
        <v>7.1499999999999994E-2</v>
      </c>
      <c r="D11" s="283">
        <v>35053</v>
      </c>
      <c r="E11" s="283">
        <v>46010</v>
      </c>
      <c r="F11" s="272">
        <f t="shared" si="0"/>
        <v>15000000</v>
      </c>
      <c r="G11" s="284">
        <v>100</v>
      </c>
      <c r="H11" s="182">
        <f t="shared" si="1"/>
        <v>7.1499999999999994E-2</v>
      </c>
      <c r="I11" s="272">
        <f t="shared" si="2"/>
        <v>1072500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Y11" s="272">
        <f t="shared" si="3"/>
        <v>1072500</v>
      </c>
      <c r="Z11" s="27"/>
    </row>
    <row r="12" spans="1:26" s="28" customFormat="1">
      <c r="A12" s="133">
        <f t="shared" si="4"/>
        <v>8</v>
      </c>
      <c r="B12" s="137" t="s">
        <v>23</v>
      </c>
      <c r="C12" s="282">
        <v>7.1999999999999995E-2</v>
      </c>
      <c r="D12" s="283">
        <v>35054</v>
      </c>
      <c r="E12" s="283">
        <v>46013</v>
      </c>
      <c r="F12" s="272">
        <f t="shared" si="0"/>
        <v>2000000</v>
      </c>
      <c r="G12" s="284">
        <v>100</v>
      </c>
      <c r="H12" s="182">
        <f t="shared" si="1"/>
        <v>7.1999999999999995E-2</v>
      </c>
      <c r="I12" s="272">
        <f t="shared" si="2"/>
        <v>144000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Y12" s="272">
        <f t="shared" si="3"/>
        <v>144000</v>
      </c>
    </row>
    <row r="13" spans="1:26" s="28" customFormat="1">
      <c r="A13" s="133">
        <f t="shared" si="4"/>
        <v>9</v>
      </c>
      <c r="B13" s="137" t="s">
        <v>21</v>
      </c>
      <c r="C13" s="282">
        <v>7.0199999999999999E-2</v>
      </c>
      <c r="D13" s="283">
        <v>35786</v>
      </c>
      <c r="E13" s="283">
        <v>46722</v>
      </c>
      <c r="F13" s="272">
        <f t="shared" si="0"/>
        <v>300000000</v>
      </c>
      <c r="G13" s="284">
        <v>100</v>
      </c>
      <c r="H13" s="182">
        <f t="shared" si="1"/>
        <v>7.0199999999999999E-2</v>
      </c>
      <c r="I13" s="272">
        <f t="shared" si="2"/>
        <v>21060000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Y13" s="272">
        <f t="shared" si="3"/>
        <v>21060000</v>
      </c>
    </row>
    <row r="14" spans="1:26">
      <c r="A14" s="133">
        <f t="shared" si="4"/>
        <v>10</v>
      </c>
      <c r="B14" s="137" t="s">
        <v>22</v>
      </c>
      <c r="C14" s="282">
        <v>7.0000000000000007E-2</v>
      </c>
      <c r="D14" s="283">
        <v>36228</v>
      </c>
      <c r="E14" s="283">
        <v>47186</v>
      </c>
      <c r="F14" s="272">
        <f t="shared" si="0"/>
        <v>100000000</v>
      </c>
      <c r="G14" s="284">
        <v>100</v>
      </c>
      <c r="H14" s="182">
        <f t="shared" si="1"/>
        <v>7.0000000000000007E-2</v>
      </c>
      <c r="I14" s="272">
        <f t="shared" si="2"/>
        <v>7000000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Y14" s="272">
        <f t="shared" si="3"/>
        <v>7000000.0000000009</v>
      </c>
      <c r="Z14" s="28"/>
    </row>
    <row r="15" spans="1:26">
      <c r="A15" s="133">
        <f t="shared" si="4"/>
        <v>11</v>
      </c>
      <c r="B15" s="285" t="s">
        <v>24</v>
      </c>
      <c r="C15" s="282">
        <v>3.9E-2</v>
      </c>
      <c r="D15" s="286">
        <v>41417</v>
      </c>
      <c r="E15" s="287">
        <v>47908</v>
      </c>
      <c r="F15" s="272">
        <f t="shared" si="0"/>
        <v>138460000</v>
      </c>
      <c r="G15" s="284">
        <v>100</v>
      </c>
      <c r="H15" s="182">
        <f t="shared" si="1"/>
        <v>3.9E-2</v>
      </c>
      <c r="I15" s="272">
        <f t="shared" si="2"/>
        <v>5399940</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Y15" s="272">
        <f t="shared" si="3"/>
        <v>5399940</v>
      </c>
    </row>
    <row r="16" spans="1:26">
      <c r="A16" s="133">
        <f t="shared" si="4"/>
        <v>12</v>
      </c>
      <c r="B16" s="285" t="s">
        <v>24</v>
      </c>
      <c r="C16" s="282">
        <v>0.04</v>
      </c>
      <c r="D16" s="286">
        <v>41417</v>
      </c>
      <c r="E16" s="287">
        <v>47908</v>
      </c>
      <c r="F16" s="272">
        <f t="shared" si="0"/>
        <v>23400000</v>
      </c>
      <c r="G16" s="284">
        <v>100</v>
      </c>
      <c r="H16" s="182">
        <f t="shared" si="1"/>
        <v>0.04</v>
      </c>
      <c r="I16" s="272">
        <f t="shared" si="2"/>
        <v>936000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Y16" s="272">
        <f t="shared" si="3"/>
        <v>936000</v>
      </c>
    </row>
    <row r="17" spans="1:26">
      <c r="A17" s="133">
        <f t="shared" si="4"/>
        <v>13</v>
      </c>
      <c r="B17" s="137" t="s">
        <v>95</v>
      </c>
      <c r="C17" s="282">
        <v>5.4829999999999997E-2</v>
      </c>
      <c r="D17" s="283">
        <v>38499</v>
      </c>
      <c r="E17" s="283">
        <v>49461</v>
      </c>
      <c r="F17" s="272">
        <f t="shared" si="0"/>
        <v>250000000</v>
      </c>
      <c r="G17" s="284">
        <v>100</v>
      </c>
      <c r="H17" s="182">
        <f t="shared" si="1"/>
        <v>5.4800000000000001E-2</v>
      </c>
      <c r="I17" s="275">
        <f t="shared" si="2"/>
        <v>13700000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Y17" s="272">
        <f t="shared" si="3"/>
        <v>13700000</v>
      </c>
    </row>
    <row r="18" spans="1:26">
      <c r="A18" s="133">
        <f t="shared" si="4"/>
        <v>14</v>
      </c>
      <c r="B18" s="137" t="s">
        <v>95</v>
      </c>
      <c r="C18" s="282">
        <v>6.7239999999999994E-2</v>
      </c>
      <c r="D18" s="283">
        <v>38898</v>
      </c>
      <c r="E18" s="283">
        <v>49841</v>
      </c>
      <c r="F18" s="272">
        <f t="shared" si="0"/>
        <v>250000000</v>
      </c>
      <c r="G18" s="284">
        <v>100</v>
      </c>
      <c r="H18" s="182">
        <f t="shared" si="1"/>
        <v>6.7199999999999996E-2</v>
      </c>
      <c r="I18" s="275">
        <f t="shared" si="2"/>
        <v>16800000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V18" s="275">
        <v>250000000</v>
      </c>
      <c r="Y18" s="272">
        <f t="shared" si="3"/>
        <v>16800000</v>
      </c>
    </row>
    <row r="19" spans="1:26">
      <c r="A19" s="133">
        <f t="shared" si="4"/>
        <v>15</v>
      </c>
      <c r="B19" s="137" t="s">
        <v>95</v>
      </c>
      <c r="C19" s="282">
        <v>6.2740000000000004E-2</v>
      </c>
      <c r="D19" s="283">
        <v>38978</v>
      </c>
      <c r="E19" s="283">
        <v>50114</v>
      </c>
      <c r="F19" s="272">
        <f t="shared" si="0"/>
        <v>300000000</v>
      </c>
      <c r="G19" s="284">
        <v>100</v>
      </c>
      <c r="H19" s="182">
        <f t="shared" si="1"/>
        <v>6.2700000000000006E-2</v>
      </c>
      <c r="I19" s="275">
        <f t="shared" si="2"/>
        <v>18810000</v>
      </c>
      <c r="J19" s="275">
        <v>300000000</v>
      </c>
      <c r="K19" s="275">
        <v>300000000</v>
      </c>
      <c r="L19" s="275">
        <v>300000000</v>
      </c>
      <c r="M19" s="275">
        <v>300000000</v>
      </c>
      <c r="N19" s="275">
        <v>300000000</v>
      </c>
      <c r="O19" s="275">
        <v>300000000</v>
      </c>
      <c r="P19" s="275">
        <v>300000000</v>
      </c>
      <c r="Q19" s="275">
        <v>300000000</v>
      </c>
      <c r="R19" s="275">
        <v>300000000</v>
      </c>
      <c r="S19" s="275">
        <v>300000000</v>
      </c>
      <c r="T19" s="275">
        <v>300000000</v>
      </c>
      <c r="U19" s="275">
        <v>300000000</v>
      </c>
      <c r="V19" s="275">
        <v>300000000</v>
      </c>
      <c r="Y19" s="272">
        <f t="shared" si="3"/>
        <v>18810000</v>
      </c>
    </row>
    <row r="20" spans="1:26">
      <c r="A20" s="133">
        <f t="shared" si="4"/>
        <v>16</v>
      </c>
      <c r="B20" s="137" t="s">
        <v>95</v>
      </c>
      <c r="C20" s="282">
        <v>5.7570000000000003E-2</v>
      </c>
      <c r="D20" s="283">
        <v>40067</v>
      </c>
      <c r="E20" s="283">
        <v>51058</v>
      </c>
      <c r="F20" s="272">
        <f t="shared" si="0"/>
        <v>350000000</v>
      </c>
      <c r="G20" s="284">
        <v>100</v>
      </c>
      <c r="H20" s="182">
        <f t="shared" si="1"/>
        <v>5.7599999999999998E-2</v>
      </c>
      <c r="I20" s="275">
        <f t="shared" si="2"/>
        <v>20160000</v>
      </c>
      <c r="J20" s="275">
        <v>350000000</v>
      </c>
      <c r="K20" s="275">
        <v>350000000</v>
      </c>
      <c r="L20" s="275">
        <v>350000000</v>
      </c>
      <c r="M20" s="275">
        <v>350000000</v>
      </c>
      <c r="N20" s="275">
        <v>350000000</v>
      </c>
      <c r="O20" s="275">
        <v>350000000</v>
      </c>
      <c r="P20" s="275">
        <v>350000000</v>
      </c>
      <c r="Q20" s="275">
        <v>350000000</v>
      </c>
      <c r="R20" s="275">
        <v>350000000</v>
      </c>
      <c r="S20" s="275">
        <v>350000000</v>
      </c>
      <c r="T20" s="275">
        <v>350000000</v>
      </c>
      <c r="U20" s="275">
        <v>350000000</v>
      </c>
      <c r="V20" s="275">
        <v>350000000</v>
      </c>
      <c r="Y20" s="272">
        <f t="shared" si="3"/>
        <v>20160000</v>
      </c>
    </row>
    <row r="21" spans="1:26">
      <c r="A21" s="133">
        <f t="shared" si="4"/>
        <v>17</v>
      </c>
      <c r="B21" s="137" t="s">
        <v>95</v>
      </c>
      <c r="C21" s="282">
        <v>5.7950000000000002E-2</v>
      </c>
      <c r="D21" s="283">
        <v>40245</v>
      </c>
      <c r="E21" s="283">
        <v>51210</v>
      </c>
      <c r="F21" s="272">
        <f t="shared" si="0"/>
        <v>325000000</v>
      </c>
      <c r="G21" s="284">
        <v>100</v>
      </c>
      <c r="H21" s="182">
        <f t="shared" si="1"/>
        <v>5.79E-2</v>
      </c>
      <c r="I21" s="275">
        <f t="shared" si="2"/>
        <v>18817500</v>
      </c>
      <c r="J21" s="275">
        <v>325000000</v>
      </c>
      <c r="K21" s="275">
        <v>325000000</v>
      </c>
      <c r="L21" s="275">
        <v>325000000</v>
      </c>
      <c r="M21" s="275">
        <v>325000000</v>
      </c>
      <c r="N21" s="275">
        <v>325000000</v>
      </c>
      <c r="O21" s="275">
        <v>325000000</v>
      </c>
      <c r="P21" s="275">
        <v>325000000</v>
      </c>
      <c r="Q21" s="275">
        <v>325000000</v>
      </c>
      <c r="R21" s="275">
        <v>325000000</v>
      </c>
      <c r="S21" s="275">
        <v>325000000</v>
      </c>
      <c r="T21" s="275">
        <v>325000000</v>
      </c>
      <c r="U21" s="275">
        <v>325000000</v>
      </c>
      <c r="V21" s="275">
        <v>325000000</v>
      </c>
      <c r="Y21" s="272">
        <f t="shared" si="3"/>
        <v>18817500</v>
      </c>
    </row>
    <row r="22" spans="1:26">
      <c r="A22" s="133">
        <f t="shared" si="4"/>
        <v>18</v>
      </c>
      <c r="B22" s="137" t="s">
        <v>95</v>
      </c>
      <c r="C22" s="282">
        <v>5.7639999999999997E-2</v>
      </c>
      <c r="D22" s="283">
        <v>40358</v>
      </c>
      <c r="E22" s="283">
        <v>51332</v>
      </c>
      <c r="F22" s="272">
        <f t="shared" si="0"/>
        <v>250000000</v>
      </c>
      <c r="G22" s="284">
        <v>100</v>
      </c>
      <c r="H22" s="182">
        <f t="shared" si="1"/>
        <v>5.7599999999999998E-2</v>
      </c>
      <c r="I22" s="275">
        <f t="shared" si="2"/>
        <v>14400000</v>
      </c>
      <c r="J22" s="275">
        <v>250000000</v>
      </c>
      <c r="K22" s="275">
        <v>250000000</v>
      </c>
      <c r="L22" s="275">
        <v>250000000</v>
      </c>
      <c r="M22" s="275">
        <v>250000000</v>
      </c>
      <c r="N22" s="275">
        <v>250000000</v>
      </c>
      <c r="O22" s="275">
        <v>250000000</v>
      </c>
      <c r="P22" s="275">
        <v>250000000</v>
      </c>
      <c r="Q22" s="275">
        <v>250000000</v>
      </c>
      <c r="R22" s="275">
        <v>250000000</v>
      </c>
      <c r="S22" s="275">
        <v>250000000</v>
      </c>
      <c r="T22" s="275">
        <v>250000000</v>
      </c>
      <c r="U22" s="275">
        <v>250000000</v>
      </c>
      <c r="V22" s="275">
        <v>250000000</v>
      </c>
      <c r="Y22" s="272">
        <f t="shared" si="3"/>
        <v>14400000</v>
      </c>
    </row>
    <row r="23" spans="1:26">
      <c r="A23" s="133">
        <v>25</v>
      </c>
      <c r="B23" s="137" t="s">
        <v>95</v>
      </c>
      <c r="C23" s="282">
        <v>5.638E-2</v>
      </c>
      <c r="D23" s="283">
        <v>40627</v>
      </c>
      <c r="E23" s="283">
        <v>51606</v>
      </c>
      <c r="F23" s="272">
        <f t="shared" si="0"/>
        <v>300000000</v>
      </c>
      <c r="G23" s="284">
        <v>100</v>
      </c>
      <c r="H23" s="182">
        <f t="shared" si="1"/>
        <v>5.6399999999999999E-2</v>
      </c>
      <c r="I23" s="275">
        <f t="shared" si="2"/>
        <v>16920000</v>
      </c>
      <c r="J23" s="275">
        <v>300000000</v>
      </c>
      <c r="K23" s="275">
        <v>300000000</v>
      </c>
      <c r="L23" s="275">
        <v>300000000</v>
      </c>
      <c r="M23" s="275">
        <v>300000000</v>
      </c>
      <c r="N23" s="275">
        <v>300000000</v>
      </c>
      <c r="O23" s="275">
        <v>300000000</v>
      </c>
      <c r="P23" s="275">
        <v>300000000</v>
      </c>
      <c r="Q23" s="275">
        <v>300000000</v>
      </c>
      <c r="R23" s="275">
        <v>300000000</v>
      </c>
      <c r="S23" s="275">
        <v>300000000</v>
      </c>
      <c r="T23" s="275">
        <v>300000000</v>
      </c>
      <c r="U23" s="275">
        <v>300000000</v>
      </c>
      <c r="V23" s="275">
        <v>300000000</v>
      </c>
      <c r="Y23" s="272">
        <f t="shared" si="3"/>
        <v>16920000</v>
      </c>
    </row>
    <row r="24" spans="1:26">
      <c r="A24" s="133">
        <v>26</v>
      </c>
      <c r="B24" s="137" t="s">
        <v>95</v>
      </c>
      <c r="C24" s="282">
        <v>4.4339999999999997E-2</v>
      </c>
      <c r="D24" s="283">
        <v>40863</v>
      </c>
      <c r="E24" s="283">
        <v>51820</v>
      </c>
      <c r="F24" s="272">
        <f t="shared" si="0"/>
        <v>250000000</v>
      </c>
      <c r="G24" s="284">
        <v>100</v>
      </c>
      <c r="H24" s="182">
        <f t="shared" si="1"/>
        <v>4.4299999999999999E-2</v>
      </c>
      <c r="I24" s="275">
        <f t="shared" si="2"/>
        <v>11075000</v>
      </c>
      <c r="J24" s="275">
        <v>250000000</v>
      </c>
      <c r="K24" s="275">
        <v>250000000</v>
      </c>
      <c r="L24" s="275">
        <v>250000000</v>
      </c>
      <c r="M24" s="275">
        <v>250000000</v>
      </c>
      <c r="N24" s="275">
        <v>250000000</v>
      </c>
      <c r="O24" s="275">
        <v>250000000</v>
      </c>
      <c r="P24" s="275">
        <v>250000000</v>
      </c>
      <c r="Q24" s="275">
        <v>250000000</v>
      </c>
      <c r="R24" s="275">
        <v>250000000</v>
      </c>
      <c r="S24" s="275">
        <v>250000000</v>
      </c>
      <c r="T24" s="275">
        <v>250000000</v>
      </c>
      <c r="U24" s="275">
        <v>250000000</v>
      </c>
      <c r="V24" s="275">
        <v>250000000</v>
      </c>
      <c r="Y24" s="272">
        <f t="shared" si="3"/>
        <v>11075000</v>
      </c>
    </row>
    <row r="25" spans="1:26">
      <c r="A25" s="133">
        <v>27</v>
      </c>
      <c r="B25" s="137" t="s">
        <v>95</v>
      </c>
      <c r="C25" s="282">
        <v>4.7E-2</v>
      </c>
      <c r="D25" s="283">
        <v>40869</v>
      </c>
      <c r="E25" s="283">
        <v>55472</v>
      </c>
      <c r="F25" s="272">
        <f t="shared" si="0"/>
        <v>45000000</v>
      </c>
      <c r="G25" s="284">
        <v>100</v>
      </c>
      <c r="H25" s="182">
        <f t="shared" si="1"/>
        <v>4.7E-2</v>
      </c>
      <c r="I25" s="275">
        <f t="shared" si="2"/>
        <v>2115000</v>
      </c>
      <c r="J25" s="275">
        <v>45000000</v>
      </c>
      <c r="K25" s="275">
        <v>45000000</v>
      </c>
      <c r="L25" s="275">
        <v>45000000</v>
      </c>
      <c r="M25" s="275">
        <v>45000000</v>
      </c>
      <c r="N25" s="275">
        <v>45000000</v>
      </c>
      <c r="O25" s="275">
        <v>45000000</v>
      </c>
      <c r="P25" s="275">
        <v>45000000</v>
      </c>
      <c r="Q25" s="275">
        <v>45000000</v>
      </c>
      <c r="R25" s="275">
        <v>45000000</v>
      </c>
      <c r="S25" s="275">
        <v>45000000</v>
      </c>
      <c r="T25" s="275">
        <v>45000000</v>
      </c>
      <c r="U25" s="275">
        <v>45000000</v>
      </c>
      <c r="V25" s="275">
        <v>45000000</v>
      </c>
      <c r="Y25" s="272">
        <f t="shared" si="3"/>
        <v>2115000</v>
      </c>
    </row>
    <row r="26" spans="1:26">
      <c r="A26" s="133">
        <v>28</v>
      </c>
      <c r="B26" s="137" t="s">
        <v>126</v>
      </c>
      <c r="C26" s="282">
        <v>6.9739999999999996E-2</v>
      </c>
      <c r="D26" s="283">
        <v>39237</v>
      </c>
      <c r="E26" s="283">
        <v>42887</v>
      </c>
      <c r="F26" s="272">
        <f t="shared" si="0"/>
        <v>250000000</v>
      </c>
      <c r="G26" s="284">
        <v>100</v>
      </c>
      <c r="H26" s="182">
        <f t="shared" si="1"/>
        <v>6.9699999999999998E-2</v>
      </c>
      <c r="I26" s="275">
        <f t="shared" si="2"/>
        <v>17425000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Y26" s="272">
        <f t="shared" si="3"/>
        <v>17425000</v>
      </c>
    </row>
    <row r="27" spans="1:26">
      <c r="A27" s="133">
        <v>29</v>
      </c>
      <c r="B27" s="137" t="s">
        <v>95</v>
      </c>
      <c r="C27" s="282">
        <v>4.2999999999999997E-2</v>
      </c>
      <c r="D27" s="283">
        <v>42150</v>
      </c>
      <c r="E27" s="283">
        <v>53102</v>
      </c>
      <c r="F27" s="272">
        <f t="shared" si="0"/>
        <v>265625000</v>
      </c>
      <c r="G27" s="284">
        <v>100</v>
      </c>
      <c r="H27" s="182">
        <f t="shared" si="1"/>
        <v>4.2999999999999997E-2</v>
      </c>
      <c r="I27" s="275">
        <f t="shared" si="2"/>
        <v>11421875</v>
      </c>
      <c r="J27" s="272"/>
      <c r="K27" s="272"/>
      <c r="L27" s="272"/>
      <c r="M27" s="272"/>
      <c r="N27" s="272"/>
      <c r="O27" s="272">
        <v>425000000</v>
      </c>
      <c r="P27" s="272">
        <v>425000000</v>
      </c>
      <c r="Q27" s="272">
        <v>425000000</v>
      </c>
      <c r="R27" s="272">
        <v>425000000</v>
      </c>
      <c r="S27" s="272">
        <v>425000000</v>
      </c>
      <c r="T27" s="272">
        <v>425000000</v>
      </c>
      <c r="U27" s="272">
        <v>425000000</v>
      </c>
      <c r="V27" s="272">
        <v>425000000</v>
      </c>
      <c r="Y27" s="275">
        <f t="shared" si="3"/>
        <v>18275000</v>
      </c>
    </row>
    <row r="28" spans="1:26">
      <c r="A28" s="133">
        <v>30</v>
      </c>
      <c r="B28" s="137"/>
      <c r="C28" s="282"/>
      <c r="D28" s="283"/>
      <c r="E28" s="283"/>
      <c r="F28" s="272"/>
      <c r="G28" s="284"/>
      <c r="H28" s="182"/>
      <c r="I28" s="275"/>
      <c r="J28" s="275"/>
      <c r="K28" s="275"/>
      <c r="L28" s="275"/>
      <c r="M28" s="275"/>
      <c r="N28" s="275"/>
      <c r="O28" s="275"/>
      <c r="P28" s="275"/>
      <c r="Q28" s="275"/>
      <c r="R28" s="275"/>
      <c r="S28" s="275"/>
      <c r="T28" s="275"/>
      <c r="U28" s="275"/>
      <c r="V28" s="275"/>
      <c r="Y28" s="474">
        <f>SUM(Y6:Y27)</f>
        <v>217589940</v>
      </c>
    </row>
    <row r="29" spans="1:26" ht="13.5" thickBot="1">
      <c r="A29" s="133">
        <v>31</v>
      </c>
      <c r="B29" s="137"/>
      <c r="C29" s="139"/>
      <c r="D29" s="283"/>
      <c r="E29" s="283"/>
      <c r="F29" s="272"/>
      <c r="G29" s="292"/>
      <c r="H29" s="182"/>
      <c r="I29" s="291"/>
      <c r="J29" s="272"/>
      <c r="K29" s="272"/>
      <c r="L29" s="272"/>
      <c r="M29" s="272"/>
      <c r="N29" s="272"/>
      <c r="O29" s="272"/>
      <c r="P29" s="272"/>
      <c r="Q29" s="272"/>
      <c r="R29" s="272"/>
      <c r="S29" s="272"/>
      <c r="T29" s="272"/>
      <c r="U29" s="272"/>
      <c r="V29" s="272"/>
      <c r="Y29" s="578"/>
    </row>
    <row r="30" spans="1:26" ht="13.5" thickBot="1">
      <c r="A30" s="133">
        <v>32</v>
      </c>
      <c r="B30" s="139" t="s">
        <v>129</v>
      </c>
      <c r="C30" s="282"/>
      <c r="D30" s="283"/>
      <c r="E30" s="283"/>
      <c r="F30" s="289">
        <f>SUM(F6:F29)</f>
        <v>3806318333</v>
      </c>
      <c r="G30" s="290"/>
      <c r="H30" s="215">
        <f>ROUND(+I30/F30,4)</f>
        <v>5.8500000000000003E-2</v>
      </c>
      <c r="I30" s="293">
        <f t="shared" ref="I30:V30" si="5">SUM(I6:I29)</f>
        <v>222671082</v>
      </c>
      <c r="J30" s="293">
        <f t="shared" si="5"/>
        <v>3760860000</v>
      </c>
      <c r="K30" s="293">
        <f t="shared" si="5"/>
        <v>3760860000</v>
      </c>
      <c r="L30" s="293">
        <f t="shared" si="5"/>
        <v>3760860000</v>
      </c>
      <c r="M30" s="293">
        <f t="shared" si="5"/>
        <v>3760860000</v>
      </c>
      <c r="N30" s="293">
        <f t="shared" si="5"/>
        <v>3760860000</v>
      </c>
      <c r="O30" s="293">
        <f t="shared" si="5"/>
        <v>4185860000</v>
      </c>
      <c r="P30" s="293">
        <f t="shared" si="5"/>
        <v>3785860000</v>
      </c>
      <c r="Q30" s="293">
        <f t="shared" si="5"/>
        <v>3785860000</v>
      </c>
      <c r="R30" s="293">
        <f t="shared" si="5"/>
        <v>3785860000</v>
      </c>
      <c r="S30" s="293">
        <f t="shared" si="5"/>
        <v>3773860000</v>
      </c>
      <c r="T30" s="293">
        <f t="shared" si="5"/>
        <v>3773860000</v>
      </c>
      <c r="U30" s="293">
        <f t="shared" si="5"/>
        <v>3773860000</v>
      </c>
      <c r="V30" s="293">
        <f t="shared" si="5"/>
        <v>3773860000</v>
      </c>
      <c r="Y30" s="293">
        <f>Y28+Y29</f>
        <v>217589940</v>
      </c>
      <c r="Z30" s="475">
        <f>Y30/V30</f>
        <v>5.765713089515774E-2</v>
      </c>
    </row>
    <row r="31" spans="1:26">
      <c r="A31" s="133">
        <v>33</v>
      </c>
      <c r="B31" s="137"/>
      <c r="C31" s="282"/>
      <c r="D31" s="283"/>
      <c r="E31" s="283"/>
      <c r="F31" s="291"/>
      <c r="G31" s="288"/>
      <c r="H31" s="245"/>
      <c r="I31" s="291"/>
      <c r="J31" s="497"/>
      <c r="K31" s="497"/>
      <c r="L31" s="497"/>
      <c r="M31" s="497"/>
      <c r="N31" s="497"/>
      <c r="O31" s="497"/>
      <c r="P31" s="497"/>
      <c r="Q31" s="497"/>
      <c r="R31" s="497"/>
      <c r="S31" s="497"/>
      <c r="T31" s="497"/>
      <c r="U31" s="497"/>
      <c r="V31" s="497"/>
      <c r="Y31" s="273">
        <f>H31*V31</f>
        <v>0</v>
      </c>
    </row>
    <row r="32" spans="1:26">
      <c r="A32" s="133">
        <v>34</v>
      </c>
      <c r="B32" s="135" t="s">
        <v>299</v>
      </c>
      <c r="C32" s="136"/>
      <c r="D32" s="136"/>
      <c r="E32" s="136"/>
      <c r="F32" s="291"/>
      <c r="G32" s="25"/>
      <c r="H32" s="245"/>
      <c r="I32" s="291"/>
      <c r="J32" s="275"/>
      <c r="K32" s="343"/>
      <c r="L32" s="343"/>
      <c r="M32" s="343"/>
      <c r="N32" s="343"/>
      <c r="O32" s="343"/>
      <c r="P32" s="343"/>
      <c r="Q32" s="343"/>
      <c r="R32" s="343"/>
      <c r="S32" s="343"/>
      <c r="T32" s="343"/>
      <c r="U32" s="343"/>
      <c r="V32" s="343"/>
      <c r="Y32" s="272"/>
    </row>
    <row r="33" spans="1:56">
      <c r="A33" s="133"/>
      <c r="B33" s="135"/>
      <c r="C33" s="136"/>
      <c r="D33" s="136"/>
      <c r="E33" s="136"/>
      <c r="F33" s="136"/>
      <c r="G33" s="136"/>
      <c r="H33" s="136"/>
      <c r="I33" s="136"/>
      <c r="Y33" s="291"/>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1" t="str">
        <f>IF((F30-'2 - CapStructure'!Q16)&gt;1,"Total LTD ERROR",IF((F30-'2 - CapStructure'!Q16)&lt;-1,"Total LTD ERROR",""))</f>
        <v>Total LTD ERROR</v>
      </c>
      <c r="G37" s="134"/>
      <c r="H37" s="294"/>
      <c r="I37" s="295"/>
      <c r="J37" s="296"/>
      <c r="K37" s="296"/>
      <c r="L37" s="296"/>
      <c r="M37" s="296"/>
      <c r="N37" s="296"/>
      <c r="O37" s="296"/>
      <c r="P37" s="296"/>
      <c r="Q37" s="296"/>
      <c r="R37" s="296"/>
      <c r="S37" s="296"/>
      <c r="T37" s="296"/>
      <c r="U37" s="296"/>
      <c r="V37" s="296"/>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7"/>
      <c r="C38" s="297"/>
      <c r="D38" s="297"/>
      <c r="E38" s="297"/>
      <c r="F38" s="271"/>
      <c r="G38" s="297"/>
      <c r="H38" s="136"/>
      <c r="I38" s="178"/>
      <c r="J38" s="298"/>
      <c r="K38" s="298"/>
      <c r="L38" s="298"/>
      <c r="M38" s="298"/>
      <c r="N38" s="137"/>
      <c r="O38" s="137"/>
      <c r="P38" s="137"/>
      <c r="Q38" s="137"/>
      <c r="R38" s="137"/>
      <c r="S38" s="137"/>
      <c r="T38" s="137"/>
      <c r="U38" s="137"/>
      <c r="V38" s="137"/>
    </row>
    <row r="39" spans="1:56">
      <c r="A39" s="44"/>
      <c r="B39" s="297"/>
      <c r="C39" s="297"/>
      <c r="D39" s="297"/>
      <c r="E39" s="297"/>
      <c r="F39" s="270"/>
      <c r="G39" s="297"/>
      <c r="H39" s="134"/>
      <c r="I39" s="295"/>
      <c r="J39" s="273"/>
      <c r="K39" s="273"/>
      <c r="L39" s="273"/>
      <c r="M39" s="273"/>
      <c r="N39" s="273"/>
      <c r="O39" s="273"/>
      <c r="P39" s="273"/>
      <c r="Q39" s="273"/>
      <c r="R39" s="273"/>
      <c r="S39" s="273"/>
      <c r="T39" s="273"/>
      <c r="U39" s="273"/>
      <c r="V39" s="273"/>
    </row>
    <row r="40" spans="1:56">
      <c r="A40" s="44"/>
      <c r="B40" s="28"/>
      <c r="C40" s="28"/>
      <c r="D40" s="28"/>
      <c r="E40" s="28"/>
      <c r="F40" s="271"/>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S72"/>
  <sheetViews>
    <sheetView topLeftCell="A13" workbookViewId="0">
      <selection activeCell="N64" sqref="N64"/>
    </sheetView>
  </sheetViews>
  <sheetFormatPr defaultRowHeight="12.75"/>
  <cols>
    <col min="2" max="2" width="9.33203125" style="568" customWidth="1"/>
    <col min="5" max="5" width="10.83203125" style="564"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8" t="s">
        <v>292</v>
      </c>
    </row>
    <row r="2" spans="2:15">
      <c r="C2">
        <v>1000</v>
      </c>
      <c r="E2" s="564">
        <v>18900013</v>
      </c>
      <c r="H2" t="s">
        <v>267</v>
      </c>
      <c r="K2">
        <v>52742</v>
      </c>
      <c r="M2">
        <v>52742</v>
      </c>
      <c r="O2">
        <v>0</v>
      </c>
    </row>
    <row r="3" spans="2:15">
      <c r="C3">
        <v>1000</v>
      </c>
      <c r="E3" s="564">
        <v>18900173</v>
      </c>
      <c r="H3" t="s">
        <v>268</v>
      </c>
      <c r="K3">
        <v>1702874.8</v>
      </c>
      <c r="M3">
        <v>1702874.8</v>
      </c>
      <c r="O3">
        <v>0</v>
      </c>
    </row>
    <row r="4" spans="2:15">
      <c r="C4">
        <v>1000</v>
      </c>
      <c r="E4" s="564">
        <v>18900183</v>
      </c>
      <c r="H4" t="s">
        <v>269</v>
      </c>
      <c r="K4">
        <v>365936.61</v>
      </c>
      <c r="M4">
        <v>365936.61</v>
      </c>
      <c r="O4">
        <v>0</v>
      </c>
    </row>
    <row r="5" spans="2:15">
      <c r="C5">
        <v>1000</v>
      </c>
      <c r="E5" s="564">
        <v>18900193</v>
      </c>
      <c r="H5" t="s">
        <v>270</v>
      </c>
      <c r="K5">
        <v>3083205.61</v>
      </c>
      <c r="M5">
        <v>3083205.61</v>
      </c>
      <c r="O5">
        <v>0</v>
      </c>
    </row>
    <row r="6" spans="2:15">
      <c r="C6">
        <v>1000</v>
      </c>
      <c r="E6" s="564">
        <v>18900243</v>
      </c>
      <c r="H6" t="s">
        <v>271</v>
      </c>
      <c r="K6">
        <v>15744.35</v>
      </c>
      <c r="M6">
        <v>15744.35</v>
      </c>
      <c r="O6">
        <v>0</v>
      </c>
    </row>
    <row r="7" spans="2:15">
      <c r="C7">
        <v>1000</v>
      </c>
      <c r="E7" s="564">
        <v>18900253</v>
      </c>
      <c r="H7" t="s">
        <v>272</v>
      </c>
      <c r="K7">
        <v>780747.67</v>
      </c>
      <c r="M7">
        <v>780747.67</v>
      </c>
      <c r="O7">
        <v>0</v>
      </c>
    </row>
    <row r="8" spans="2:15">
      <c r="C8">
        <v>1000</v>
      </c>
      <c r="E8" s="564">
        <v>18900263</v>
      </c>
      <c r="H8" t="s">
        <v>273</v>
      </c>
      <c r="K8">
        <v>593303.81999999995</v>
      </c>
      <c r="M8">
        <v>593303.81999999995</v>
      </c>
      <c r="O8">
        <v>0</v>
      </c>
    </row>
    <row r="9" spans="2:15">
      <c r="C9">
        <v>1000</v>
      </c>
      <c r="E9" s="564">
        <v>18900273</v>
      </c>
      <c r="H9" t="s">
        <v>274</v>
      </c>
      <c r="K9">
        <v>1816669.69</v>
      </c>
      <c r="M9">
        <v>1816669.69</v>
      </c>
      <c r="O9">
        <v>0</v>
      </c>
    </row>
    <row r="10" spans="2:15">
      <c r="C10">
        <v>1000</v>
      </c>
      <c r="E10" s="564">
        <v>18900283</v>
      </c>
      <c r="H10" t="s">
        <v>275</v>
      </c>
      <c r="K10">
        <v>554446.11</v>
      </c>
      <c r="M10">
        <v>554446.11</v>
      </c>
      <c r="O10">
        <v>0</v>
      </c>
    </row>
    <row r="11" spans="2:15">
      <c r="C11">
        <v>1000</v>
      </c>
      <c r="E11" s="564">
        <v>18900293</v>
      </c>
      <c r="H11" t="s">
        <v>276</v>
      </c>
      <c r="K11">
        <v>9128.82</v>
      </c>
      <c r="M11">
        <v>9128.82</v>
      </c>
      <c r="O11">
        <v>0</v>
      </c>
    </row>
    <row r="12" spans="2:15">
      <c r="C12">
        <v>1000</v>
      </c>
      <c r="E12" s="564">
        <v>18900303</v>
      </c>
      <c r="H12" t="s">
        <v>277</v>
      </c>
      <c r="K12">
        <v>21299.61</v>
      </c>
      <c r="M12">
        <v>21299.61</v>
      </c>
      <c r="O12">
        <v>0</v>
      </c>
    </row>
    <row r="13" spans="2:15">
      <c r="C13">
        <v>1000</v>
      </c>
      <c r="E13" s="564">
        <v>18900323</v>
      </c>
      <c r="H13" t="s">
        <v>278</v>
      </c>
      <c r="K13">
        <v>541542.92000000004</v>
      </c>
      <c r="M13">
        <v>541542.92000000004</v>
      </c>
      <c r="O13">
        <v>0</v>
      </c>
    </row>
    <row r="14" spans="2:15">
      <c r="C14">
        <v>1000</v>
      </c>
      <c r="E14" s="564">
        <v>18900353</v>
      </c>
      <c r="H14" t="s">
        <v>279</v>
      </c>
      <c r="K14">
        <v>102120.9</v>
      </c>
      <c r="M14">
        <v>102120.9</v>
      </c>
      <c r="O14">
        <v>0</v>
      </c>
    </row>
    <row r="15" spans="2:15">
      <c r="C15">
        <v>1000</v>
      </c>
      <c r="E15" s="564">
        <v>18900373</v>
      </c>
      <c r="H15" t="s">
        <v>280</v>
      </c>
      <c r="K15">
        <v>4432980.76</v>
      </c>
      <c r="M15">
        <v>4432980.76</v>
      </c>
      <c r="O15">
        <v>0</v>
      </c>
    </row>
    <row r="16" spans="2:15">
      <c r="C16">
        <v>1000</v>
      </c>
      <c r="E16" s="564">
        <v>18900383</v>
      </c>
      <c r="H16" t="s">
        <v>281</v>
      </c>
      <c r="K16">
        <v>652428.99</v>
      </c>
      <c r="M16">
        <v>652428.99</v>
      </c>
      <c r="O16">
        <v>0</v>
      </c>
    </row>
    <row r="17" spans="2:17">
      <c r="C17">
        <v>1000</v>
      </c>
      <c r="E17" s="564">
        <v>18900393</v>
      </c>
      <c r="H17" t="s">
        <v>282</v>
      </c>
      <c r="K17">
        <v>15152963.5</v>
      </c>
      <c r="M17">
        <v>15152963.5</v>
      </c>
      <c r="O17">
        <v>0</v>
      </c>
    </row>
    <row r="18" spans="2:17">
      <c r="C18" s="565">
        <v>1000</v>
      </c>
      <c r="D18" s="565"/>
      <c r="E18" s="566">
        <v>18900403</v>
      </c>
      <c r="F18" s="565"/>
      <c r="G18" s="565"/>
      <c r="H18" s="565" t="s">
        <v>283</v>
      </c>
      <c r="I18" s="565"/>
      <c r="J18" s="565"/>
      <c r="K18" s="565">
        <v>258483.07</v>
      </c>
      <c r="L18" s="565"/>
      <c r="M18" s="565">
        <v>258483.07</v>
      </c>
      <c r="N18" s="565"/>
      <c r="O18" s="565">
        <v>0</v>
      </c>
      <c r="P18" s="565"/>
      <c r="Q18" s="565"/>
    </row>
    <row r="19" spans="2:17">
      <c r="C19" s="565">
        <v>1000</v>
      </c>
      <c r="D19" s="565"/>
      <c r="E19" s="566">
        <v>18900413</v>
      </c>
      <c r="F19" s="565"/>
      <c r="G19" s="565"/>
      <c r="H19" s="565" t="s">
        <v>284</v>
      </c>
      <c r="I19" s="565"/>
      <c r="J19" s="565"/>
      <c r="K19" s="565">
        <v>339527.78</v>
      </c>
      <c r="L19" s="565"/>
      <c r="M19" s="565">
        <v>339527.78</v>
      </c>
      <c r="N19" s="565"/>
      <c r="O19" s="565">
        <v>0</v>
      </c>
      <c r="P19" s="565"/>
      <c r="Q19" s="565"/>
    </row>
    <row r="20" spans="2:17">
      <c r="C20" s="565">
        <v>1000</v>
      </c>
      <c r="D20" s="565"/>
      <c r="E20" s="566">
        <v>18900423</v>
      </c>
      <c r="F20" s="565"/>
      <c r="G20" s="565"/>
      <c r="H20" s="565" t="s">
        <v>285</v>
      </c>
      <c r="I20" s="565"/>
      <c r="J20" s="565"/>
      <c r="K20" s="565">
        <v>1353341.67</v>
      </c>
      <c r="L20" s="565"/>
      <c r="M20" s="565">
        <v>1353341.67</v>
      </c>
      <c r="N20" s="565"/>
      <c r="O20" s="565">
        <v>0</v>
      </c>
      <c r="P20" s="565"/>
      <c r="Q20" s="565"/>
    </row>
    <row r="21" spans="2:17">
      <c r="C21">
        <v>1000</v>
      </c>
      <c r="E21" s="564">
        <v>18900433</v>
      </c>
      <c r="H21" t="s">
        <v>286</v>
      </c>
      <c r="K21">
        <v>5135043.88</v>
      </c>
      <c r="M21">
        <v>5135043.88</v>
      </c>
      <c r="O21">
        <v>0</v>
      </c>
    </row>
    <row r="22" spans="2:17">
      <c r="C22">
        <v>1000</v>
      </c>
      <c r="E22" s="564">
        <v>18900533</v>
      </c>
      <c r="H22" t="s">
        <v>287</v>
      </c>
      <c r="K22">
        <v>867832.16</v>
      </c>
      <c r="M22">
        <v>867832.16</v>
      </c>
      <c r="O22">
        <v>0</v>
      </c>
    </row>
    <row r="24" spans="2:17">
      <c r="B24" s="568" t="s">
        <v>290</v>
      </c>
    </row>
    <row r="25" spans="2:17">
      <c r="C25">
        <v>1000</v>
      </c>
      <c r="E25" s="564">
        <v>18900013</v>
      </c>
      <c r="H25" t="s">
        <v>267</v>
      </c>
      <c r="K25">
        <v>43574</v>
      </c>
      <c r="M25">
        <v>52742</v>
      </c>
      <c r="O25">
        <v>-9168</v>
      </c>
      <c r="Q25">
        <v>-17.399999999999999</v>
      </c>
    </row>
    <row r="26" spans="2:17">
      <c r="C26">
        <v>1000</v>
      </c>
      <c r="E26" s="564">
        <v>18900173</v>
      </c>
      <c r="H26" t="s">
        <v>268</v>
      </c>
      <c r="K26">
        <v>1618434.76</v>
      </c>
      <c r="M26">
        <v>1702874.8</v>
      </c>
      <c r="O26">
        <v>-84440.04</v>
      </c>
      <c r="Q26">
        <v>-5</v>
      </c>
    </row>
    <row r="27" spans="2:17">
      <c r="C27">
        <v>1000</v>
      </c>
      <c r="E27" s="564">
        <v>18900183</v>
      </c>
      <c r="H27" t="s">
        <v>269</v>
      </c>
      <c r="K27">
        <v>357393.33</v>
      </c>
      <c r="M27">
        <v>365936.61</v>
      </c>
      <c r="O27">
        <v>-8543.2800000000007</v>
      </c>
      <c r="Q27">
        <v>-2.2999999999999998</v>
      </c>
    </row>
    <row r="28" spans="2:17">
      <c r="C28">
        <v>1000</v>
      </c>
      <c r="E28" s="564">
        <v>18900193</v>
      </c>
      <c r="H28" t="s">
        <v>270</v>
      </c>
      <c r="K28">
        <v>2968303.51</v>
      </c>
      <c r="M28">
        <v>3083205.61</v>
      </c>
      <c r="O28">
        <v>-114902.1</v>
      </c>
      <c r="Q28">
        <v>-3.7</v>
      </c>
    </row>
    <row r="29" spans="2:17">
      <c r="C29">
        <v>1000</v>
      </c>
      <c r="E29" s="564">
        <v>18900243</v>
      </c>
      <c r="H29" t="s">
        <v>271</v>
      </c>
      <c r="K29">
        <v>13994.93</v>
      </c>
      <c r="M29">
        <v>15744.35</v>
      </c>
      <c r="O29">
        <v>-1749.42</v>
      </c>
      <c r="Q29">
        <v>-11.1</v>
      </c>
    </row>
    <row r="30" spans="2:17">
      <c r="C30">
        <v>1000</v>
      </c>
      <c r="E30" s="564">
        <v>18900253</v>
      </c>
      <c r="H30" t="s">
        <v>272</v>
      </c>
      <c r="K30">
        <v>758007.43</v>
      </c>
      <c r="M30">
        <v>780747.67</v>
      </c>
      <c r="O30">
        <v>-22740.240000000002</v>
      </c>
      <c r="Q30">
        <v>-2.9</v>
      </c>
    </row>
    <row r="31" spans="2:17">
      <c r="C31">
        <v>1000</v>
      </c>
      <c r="E31" s="564">
        <v>18900263</v>
      </c>
      <c r="H31" t="s">
        <v>273</v>
      </c>
      <c r="K31">
        <v>576023.1</v>
      </c>
      <c r="M31">
        <v>593303.81999999995</v>
      </c>
      <c r="O31">
        <v>-17280.72</v>
      </c>
      <c r="Q31">
        <v>-2.9</v>
      </c>
    </row>
    <row r="32" spans="2:17">
      <c r="C32">
        <v>1000</v>
      </c>
      <c r="E32" s="564">
        <v>18900273</v>
      </c>
      <c r="H32" t="s">
        <v>274</v>
      </c>
      <c r="K32">
        <v>1763756.95</v>
      </c>
      <c r="M32">
        <v>1816669.69</v>
      </c>
      <c r="O32">
        <v>-52912.74</v>
      </c>
      <c r="Q32">
        <v>-2.9</v>
      </c>
    </row>
    <row r="33" spans="3:19">
      <c r="C33">
        <v>1000</v>
      </c>
      <c r="E33" s="564">
        <v>18900283</v>
      </c>
      <c r="H33" t="s">
        <v>275</v>
      </c>
      <c r="K33">
        <v>538297.23</v>
      </c>
      <c r="M33">
        <v>554446.11</v>
      </c>
      <c r="O33">
        <v>-16148.88</v>
      </c>
      <c r="Q33">
        <v>-2.9</v>
      </c>
    </row>
    <row r="34" spans="3:19">
      <c r="C34">
        <v>1000</v>
      </c>
      <c r="E34" s="564">
        <v>18900293</v>
      </c>
      <c r="H34" t="s">
        <v>276</v>
      </c>
      <c r="K34">
        <v>8558.2800000000007</v>
      </c>
      <c r="M34">
        <v>9128.82</v>
      </c>
      <c r="O34">
        <v>-570.54</v>
      </c>
      <c r="Q34">
        <v>-6.2</v>
      </c>
    </row>
    <row r="35" spans="3:19">
      <c r="C35">
        <v>1000</v>
      </c>
      <c r="E35" s="564">
        <v>18900303</v>
      </c>
      <c r="H35" t="s">
        <v>277</v>
      </c>
      <c r="K35">
        <v>19968.330000000002</v>
      </c>
      <c r="M35">
        <v>21299.61</v>
      </c>
      <c r="O35">
        <v>-1331.28</v>
      </c>
      <c r="Q35">
        <v>-6.3</v>
      </c>
    </row>
    <row r="36" spans="3:19">
      <c r="C36">
        <v>1000</v>
      </c>
      <c r="E36" s="564">
        <v>18900323</v>
      </c>
      <c r="H36" t="s">
        <v>278</v>
      </c>
      <c r="K36">
        <v>510300.08</v>
      </c>
      <c r="M36">
        <v>541542.92000000004</v>
      </c>
      <c r="O36">
        <v>-31242.84</v>
      </c>
      <c r="Q36">
        <v>-5.8</v>
      </c>
    </row>
    <row r="37" spans="3:19">
      <c r="C37">
        <v>1000</v>
      </c>
      <c r="E37" s="564">
        <v>18900353</v>
      </c>
      <c r="H37" t="s">
        <v>279</v>
      </c>
      <c r="K37">
        <v>96792.960000000006</v>
      </c>
      <c r="M37">
        <v>102120.9</v>
      </c>
      <c r="O37">
        <v>-5327.94</v>
      </c>
      <c r="Q37">
        <v>-5.2</v>
      </c>
    </row>
    <row r="38" spans="3:19">
      <c r="C38">
        <v>1000</v>
      </c>
      <c r="E38" s="564">
        <v>18900373</v>
      </c>
      <c r="H38" t="s">
        <v>280</v>
      </c>
      <c r="K38">
        <v>4334470.0599999996</v>
      </c>
      <c r="M38">
        <v>4432980.76</v>
      </c>
      <c r="O38">
        <v>-98510.7</v>
      </c>
      <c r="Q38">
        <v>-2.2000000000000002</v>
      </c>
    </row>
    <row r="39" spans="3:19">
      <c r="C39">
        <v>1000</v>
      </c>
      <c r="E39" s="564">
        <v>18900383</v>
      </c>
      <c r="H39" t="s">
        <v>281</v>
      </c>
      <c r="K39">
        <v>556951.59</v>
      </c>
      <c r="M39">
        <v>652428.99</v>
      </c>
      <c r="O39">
        <v>-95477.4</v>
      </c>
      <c r="Q39">
        <v>-14.6</v>
      </c>
    </row>
    <row r="40" spans="3:19">
      <c r="C40">
        <v>1000</v>
      </c>
      <c r="E40" s="564">
        <v>18900393</v>
      </c>
      <c r="H40" t="s">
        <v>282</v>
      </c>
      <c r="K40">
        <v>14952704.08</v>
      </c>
      <c r="M40">
        <v>15152963.5</v>
      </c>
      <c r="O40">
        <v>-200259.42</v>
      </c>
      <c r="Q40">
        <v>-1.3</v>
      </c>
    </row>
    <row r="41" spans="3:19">
      <c r="C41" s="565">
        <v>1000</v>
      </c>
      <c r="D41" s="565"/>
      <c r="E41" s="566">
        <v>18900403</v>
      </c>
      <c r="F41" s="565"/>
      <c r="G41" s="565"/>
      <c r="H41" s="565" t="s">
        <v>283</v>
      </c>
      <c r="I41" s="565"/>
      <c r="J41" s="565"/>
      <c r="K41" s="565">
        <v>226832.11</v>
      </c>
      <c r="L41" s="565"/>
      <c r="M41" s="565">
        <v>258483.07</v>
      </c>
      <c r="N41" s="565"/>
      <c r="O41" s="565">
        <v>-31650.959999999999</v>
      </c>
      <c r="P41" s="565"/>
      <c r="Q41" s="565">
        <v>-12.2</v>
      </c>
      <c r="S41">
        <f>K41-K68</f>
        <v>-35683.260000000009</v>
      </c>
    </row>
    <row r="42" spans="3:19">
      <c r="C42" s="565">
        <v>1000</v>
      </c>
      <c r="D42" s="565"/>
      <c r="E42" s="566">
        <v>18900413</v>
      </c>
      <c r="F42" s="565"/>
      <c r="G42" s="565"/>
      <c r="H42" s="565" t="s">
        <v>284</v>
      </c>
      <c r="I42" s="565"/>
      <c r="J42" s="565"/>
      <c r="K42" s="565">
        <v>297952.94</v>
      </c>
      <c r="L42" s="565"/>
      <c r="M42" s="565">
        <v>339527.78</v>
      </c>
      <c r="N42" s="565"/>
      <c r="O42" s="565">
        <v>-41574.839999999997</v>
      </c>
      <c r="P42" s="565"/>
      <c r="Q42" s="565">
        <v>-12.2</v>
      </c>
      <c r="S42">
        <f>K42-K69</f>
        <v>-59006.340000000026</v>
      </c>
    </row>
    <row r="43" spans="3:19">
      <c r="C43" s="565">
        <v>1000</v>
      </c>
      <c r="D43" s="565"/>
      <c r="E43" s="566">
        <v>18900423</v>
      </c>
      <c r="F43" s="565"/>
      <c r="G43" s="565"/>
      <c r="H43" s="565" t="s">
        <v>285</v>
      </c>
      <c r="I43" s="565"/>
      <c r="J43" s="565"/>
      <c r="K43" s="565">
        <v>1187626.3500000001</v>
      </c>
      <c r="L43" s="565"/>
      <c r="M43" s="565">
        <v>1353341.67</v>
      </c>
      <c r="N43" s="565"/>
      <c r="O43" s="565">
        <v>-165715.32</v>
      </c>
      <c r="P43" s="565"/>
      <c r="Q43" s="565">
        <v>-12.2</v>
      </c>
      <c r="S43">
        <f>K43-K70</f>
        <v>-331430.6399999999</v>
      </c>
    </row>
    <row r="44" spans="3:19">
      <c r="C44">
        <v>1000</v>
      </c>
      <c r="E44" s="564">
        <v>18900433</v>
      </c>
      <c r="H44" t="s">
        <v>286</v>
      </c>
      <c r="K44">
        <v>4985479.54</v>
      </c>
      <c r="M44">
        <v>5135043.88</v>
      </c>
      <c r="O44">
        <v>-149564.34</v>
      </c>
      <c r="Q44">
        <v>-2.9</v>
      </c>
    </row>
    <row r="45" spans="3:19">
      <c r="C45" s="565">
        <v>1000</v>
      </c>
      <c r="D45" s="565"/>
      <c r="E45" s="566">
        <v>18900443</v>
      </c>
      <c r="F45" s="565"/>
      <c r="G45" s="565"/>
      <c r="H45" s="565" t="s">
        <v>288</v>
      </c>
      <c r="I45" s="565"/>
      <c r="J45" s="565"/>
      <c r="K45" s="565">
        <v>137185.22</v>
      </c>
      <c r="L45" s="565"/>
      <c r="M45" s="565">
        <v>0</v>
      </c>
      <c r="N45" s="565"/>
      <c r="O45" s="565">
        <v>137185.22</v>
      </c>
      <c r="P45" s="565"/>
      <c r="Q45" s="565"/>
    </row>
    <row r="46" spans="3:19">
      <c r="C46" s="565">
        <v>1000</v>
      </c>
      <c r="D46" s="565"/>
      <c r="E46" s="566">
        <v>18900453</v>
      </c>
      <c r="F46" s="565"/>
      <c r="G46" s="565"/>
      <c r="H46" s="565" t="s">
        <v>289</v>
      </c>
      <c r="I46" s="565"/>
      <c r="J46" s="565"/>
      <c r="K46" s="565">
        <v>75041.440000000002</v>
      </c>
      <c r="L46" s="565"/>
      <c r="M46" s="565">
        <v>0</v>
      </c>
      <c r="N46" s="565"/>
      <c r="O46" s="565">
        <v>75041.440000000002</v>
      </c>
      <c r="P46" s="565"/>
      <c r="Q46" s="565"/>
    </row>
    <row r="47" spans="3:19">
      <c r="C47">
        <v>1000</v>
      </c>
      <c r="E47" s="564">
        <v>18900533</v>
      </c>
      <c r="H47" t="s">
        <v>287</v>
      </c>
      <c r="K47">
        <v>842555.54</v>
      </c>
      <c r="M47">
        <v>867832.16</v>
      </c>
      <c r="O47">
        <v>-25276.62</v>
      </c>
      <c r="Q47">
        <v>-2.9</v>
      </c>
    </row>
    <row r="51" spans="2:17">
      <c r="B51" s="568" t="s">
        <v>291</v>
      </c>
    </row>
    <row r="52" spans="2:17">
      <c r="C52" s="564">
        <v>1000</v>
      </c>
      <c r="E52" s="564">
        <v>18900013</v>
      </c>
      <c r="H52" t="s">
        <v>267</v>
      </c>
      <c r="K52">
        <v>61910</v>
      </c>
      <c r="M52">
        <v>52742</v>
      </c>
      <c r="O52">
        <v>9168</v>
      </c>
      <c r="Q52">
        <v>17.399999999999999</v>
      </c>
    </row>
    <row r="53" spans="2:17">
      <c r="C53" s="564">
        <v>1000</v>
      </c>
      <c r="E53" s="564">
        <v>18900173</v>
      </c>
      <c r="H53" t="s">
        <v>268</v>
      </c>
      <c r="K53">
        <v>1787314.84</v>
      </c>
      <c r="M53">
        <v>1702874.8</v>
      </c>
      <c r="O53">
        <v>84440.04</v>
      </c>
      <c r="Q53">
        <v>5</v>
      </c>
    </row>
    <row r="54" spans="2:17">
      <c r="C54" s="564">
        <v>1000</v>
      </c>
      <c r="E54" s="564">
        <v>18900183</v>
      </c>
      <c r="H54" t="s">
        <v>269</v>
      </c>
      <c r="K54">
        <v>374479.89</v>
      </c>
      <c r="M54">
        <v>365936.61</v>
      </c>
      <c r="O54">
        <v>8543.2800000000007</v>
      </c>
      <c r="Q54">
        <v>2.2999999999999998</v>
      </c>
    </row>
    <row r="55" spans="2:17">
      <c r="C55" s="564">
        <v>1000</v>
      </c>
      <c r="E55" s="564">
        <v>18900193</v>
      </c>
      <c r="H55" t="s">
        <v>270</v>
      </c>
      <c r="K55">
        <v>3198107.71</v>
      </c>
      <c r="M55">
        <v>3083205.61</v>
      </c>
      <c r="O55">
        <v>114902.1</v>
      </c>
      <c r="Q55">
        <v>3.7</v>
      </c>
    </row>
    <row r="56" spans="2:17">
      <c r="C56" s="564">
        <v>1000</v>
      </c>
      <c r="E56" s="564">
        <v>18900243</v>
      </c>
      <c r="H56" t="s">
        <v>271</v>
      </c>
      <c r="K56">
        <v>17493.77</v>
      </c>
      <c r="M56">
        <v>15744.35</v>
      </c>
      <c r="O56">
        <v>1749.42</v>
      </c>
      <c r="Q56">
        <v>11.1</v>
      </c>
    </row>
    <row r="57" spans="2:17">
      <c r="C57" s="564">
        <v>1000</v>
      </c>
      <c r="E57" s="564">
        <v>18900253</v>
      </c>
      <c r="H57" t="s">
        <v>272</v>
      </c>
      <c r="K57">
        <v>803487.91</v>
      </c>
      <c r="M57">
        <v>780747.67</v>
      </c>
      <c r="O57">
        <v>22740.240000000002</v>
      </c>
      <c r="Q57">
        <v>2.9</v>
      </c>
    </row>
    <row r="58" spans="2:17">
      <c r="C58" s="564">
        <v>1000</v>
      </c>
      <c r="E58" s="564">
        <v>18900263</v>
      </c>
      <c r="H58" t="s">
        <v>273</v>
      </c>
      <c r="K58">
        <v>610584.54</v>
      </c>
      <c r="M58">
        <v>593303.81999999995</v>
      </c>
      <c r="O58">
        <v>17280.72</v>
      </c>
      <c r="Q58">
        <v>2.9</v>
      </c>
    </row>
    <row r="59" spans="2:17">
      <c r="C59" s="564">
        <v>1000</v>
      </c>
      <c r="E59" s="564">
        <v>18900273</v>
      </c>
      <c r="H59" t="s">
        <v>274</v>
      </c>
      <c r="K59">
        <v>1869582.43</v>
      </c>
      <c r="M59">
        <v>1816669.69</v>
      </c>
      <c r="O59">
        <v>52912.74</v>
      </c>
      <c r="Q59">
        <v>2.9</v>
      </c>
    </row>
    <row r="60" spans="2:17">
      <c r="C60" s="564">
        <v>1000</v>
      </c>
      <c r="E60" s="564">
        <v>18900283</v>
      </c>
      <c r="H60" t="s">
        <v>275</v>
      </c>
      <c r="K60">
        <v>570594.99</v>
      </c>
      <c r="M60">
        <v>554446.11</v>
      </c>
      <c r="O60">
        <v>16148.88</v>
      </c>
      <c r="Q60">
        <v>2.9</v>
      </c>
    </row>
    <row r="61" spans="2:17">
      <c r="C61" s="564">
        <v>1000</v>
      </c>
      <c r="E61" s="564">
        <v>18900293</v>
      </c>
      <c r="H61" t="s">
        <v>276</v>
      </c>
      <c r="K61">
        <v>9699.36</v>
      </c>
      <c r="M61">
        <v>9128.82</v>
      </c>
      <c r="O61">
        <v>570.54</v>
      </c>
      <c r="Q61">
        <v>6.2</v>
      </c>
    </row>
    <row r="62" spans="2:17">
      <c r="C62" s="564">
        <v>1000</v>
      </c>
      <c r="E62" s="564">
        <v>18900303</v>
      </c>
      <c r="H62" t="s">
        <v>277</v>
      </c>
      <c r="K62">
        <v>22630.89</v>
      </c>
      <c r="M62">
        <v>21299.61</v>
      </c>
      <c r="O62">
        <v>1331.28</v>
      </c>
      <c r="Q62">
        <v>6.3</v>
      </c>
    </row>
    <row r="63" spans="2:17">
      <c r="C63" s="564">
        <v>1000</v>
      </c>
      <c r="E63" s="564">
        <v>18900323</v>
      </c>
      <c r="H63" t="s">
        <v>278</v>
      </c>
      <c r="K63">
        <v>572785.76</v>
      </c>
      <c r="M63">
        <v>541542.92000000004</v>
      </c>
      <c r="O63">
        <v>31242.84</v>
      </c>
      <c r="Q63">
        <v>5.8</v>
      </c>
    </row>
    <row r="64" spans="2:17">
      <c r="C64" s="564">
        <v>1000</v>
      </c>
      <c r="E64" s="564">
        <v>18900353</v>
      </c>
      <c r="H64" t="s">
        <v>279</v>
      </c>
      <c r="K64">
        <v>107448.84</v>
      </c>
      <c r="M64">
        <v>102120.9</v>
      </c>
      <c r="O64">
        <v>5327.94</v>
      </c>
      <c r="Q64">
        <v>5.2</v>
      </c>
    </row>
    <row r="65" spans="3:17">
      <c r="C65" s="564">
        <v>1000</v>
      </c>
      <c r="E65" s="564">
        <v>18900373</v>
      </c>
      <c r="H65" t="s">
        <v>280</v>
      </c>
      <c r="K65">
        <v>4531491.46</v>
      </c>
      <c r="M65">
        <v>4432980.76</v>
      </c>
      <c r="O65">
        <v>98510.7</v>
      </c>
      <c r="Q65">
        <v>2.2000000000000002</v>
      </c>
    </row>
    <row r="66" spans="3:17">
      <c r="C66" s="564">
        <v>1000</v>
      </c>
      <c r="E66" s="564">
        <v>18900383</v>
      </c>
      <c r="H66" t="s">
        <v>281</v>
      </c>
      <c r="K66">
        <v>747906.39</v>
      </c>
      <c r="M66">
        <v>652428.99</v>
      </c>
      <c r="O66">
        <v>95477.4</v>
      </c>
      <c r="Q66">
        <v>14.6</v>
      </c>
    </row>
    <row r="67" spans="3:17">
      <c r="C67" s="564">
        <v>1000</v>
      </c>
      <c r="E67" s="564">
        <v>18900393</v>
      </c>
      <c r="H67" t="s">
        <v>282</v>
      </c>
      <c r="K67">
        <v>15353222.92</v>
      </c>
      <c r="M67">
        <v>15152963.5</v>
      </c>
      <c r="O67">
        <v>200259.42</v>
      </c>
      <c r="Q67">
        <v>1.3</v>
      </c>
    </row>
    <row r="68" spans="3:17">
      <c r="C68" s="566">
        <v>1000</v>
      </c>
      <c r="D68" s="565"/>
      <c r="E68" s="566">
        <v>18900403</v>
      </c>
      <c r="F68" s="565"/>
      <c r="G68" s="565"/>
      <c r="H68" s="565" t="s">
        <v>283</v>
      </c>
      <c r="I68" s="565"/>
      <c r="J68" s="565"/>
      <c r="K68" s="565">
        <v>262515.37</v>
      </c>
      <c r="L68" s="565"/>
      <c r="M68" s="565">
        <v>258483.07</v>
      </c>
      <c r="N68" s="565"/>
      <c r="O68" s="565">
        <v>4032.3</v>
      </c>
      <c r="P68" s="565"/>
      <c r="Q68" s="565">
        <v>1.6</v>
      </c>
    </row>
    <row r="69" spans="3:17">
      <c r="C69" s="566">
        <v>1000</v>
      </c>
      <c r="D69" s="565"/>
      <c r="E69" s="566">
        <v>18900413</v>
      </c>
      <c r="F69" s="565"/>
      <c r="G69" s="565"/>
      <c r="H69" s="565" t="s">
        <v>284</v>
      </c>
      <c r="I69" s="565"/>
      <c r="J69" s="565"/>
      <c r="K69" s="565">
        <v>356959.28</v>
      </c>
      <c r="L69" s="565"/>
      <c r="M69" s="565">
        <v>339527.78</v>
      </c>
      <c r="N69" s="565"/>
      <c r="O69" s="565">
        <v>17431.5</v>
      </c>
      <c r="P69" s="565"/>
      <c r="Q69" s="565">
        <v>5.0999999999999996</v>
      </c>
    </row>
    <row r="70" spans="3:17">
      <c r="C70" s="566">
        <v>1000</v>
      </c>
      <c r="D70" s="565"/>
      <c r="E70" s="566">
        <v>18900423</v>
      </c>
      <c r="F70" s="565"/>
      <c r="G70" s="565"/>
      <c r="H70" s="565" t="s">
        <v>285</v>
      </c>
      <c r="I70" s="565"/>
      <c r="J70" s="565"/>
      <c r="K70" s="565">
        <v>1519056.99</v>
      </c>
      <c r="L70" s="565"/>
      <c r="M70" s="565">
        <v>1353341.67</v>
      </c>
      <c r="N70" s="565"/>
      <c r="O70" s="565">
        <v>165715.32</v>
      </c>
      <c r="P70" s="565"/>
      <c r="Q70" s="565">
        <v>12.2</v>
      </c>
    </row>
    <row r="71" spans="3:17">
      <c r="C71" s="564">
        <v>1000</v>
      </c>
      <c r="E71" s="564">
        <v>18900433</v>
      </c>
      <c r="H71" t="s">
        <v>286</v>
      </c>
      <c r="K71">
        <v>5284608.22</v>
      </c>
      <c r="M71">
        <v>5135043.88</v>
      </c>
      <c r="O71">
        <v>149564.34</v>
      </c>
      <c r="Q71">
        <v>2.9</v>
      </c>
    </row>
    <row r="72" spans="3:17">
      <c r="C72" s="564">
        <v>1000</v>
      </c>
      <c r="E72" s="564">
        <v>18900533</v>
      </c>
      <c r="H72" t="s">
        <v>287</v>
      </c>
      <c r="K72">
        <v>893108.78</v>
      </c>
      <c r="M72">
        <v>867832.16</v>
      </c>
      <c r="O72">
        <v>25276.62</v>
      </c>
      <c r="Q72">
        <v>2.9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410" customWidth="1"/>
    <col min="2" max="2" width="40.6640625" style="410" customWidth="1"/>
    <col min="3" max="3" width="20" style="410" bestFit="1" customWidth="1"/>
    <col min="4" max="4" width="10.6640625" style="410" customWidth="1"/>
    <col min="5" max="5" width="18.33203125" style="471" customWidth="1"/>
    <col min="6" max="6" width="10.1640625" style="410" customWidth="1"/>
    <col min="7" max="7" width="11.33203125" style="410" customWidth="1"/>
    <col min="8" max="16384" width="13.33203125" style="410"/>
  </cols>
  <sheetData>
    <row r="1" spans="1:28" ht="15.75">
      <c r="A1" s="407" t="s">
        <v>4</v>
      </c>
      <c r="B1" s="408"/>
      <c r="C1" s="408"/>
      <c r="D1" s="408"/>
      <c r="E1" s="408"/>
      <c r="F1" s="408"/>
      <c r="G1" s="408"/>
      <c r="H1" s="409"/>
      <c r="I1" s="409"/>
      <c r="J1" s="409"/>
      <c r="K1" s="409"/>
      <c r="L1" s="409"/>
      <c r="M1" s="409"/>
    </row>
    <row r="2" spans="1:28" ht="15.75">
      <c r="A2" s="411" t="s">
        <v>179</v>
      </c>
      <c r="B2" s="412"/>
      <c r="C2" s="413"/>
      <c r="D2" s="412"/>
      <c r="E2" s="412"/>
      <c r="F2" s="412"/>
      <c r="G2" s="412"/>
      <c r="AB2" s="414" t="s">
        <v>180</v>
      </c>
    </row>
    <row r="3" spans="1:28">
      <c r="A3" s="415">
        <v>42004</v>
      </c>
      <c r="B3" s="415"/>
      <c r="C3" s="415"/>
      <c r="D3" s="415"/>
      <c r="E3" s="416"/>
      <c r="F3" s="416"/>
      <c r="G3" s="416"/>
    </row>
    <row r="4" spans="1:28" ht="15.75">
      <c r="A4" s="417"/>
      <c r="B4" s="418"/>
      <c r="C4" s="419"/>
      <c r="D4" s="418"/>
      <c r="E4" s="420"/>
      <c r="F4" s="418"/>
      <c r="G4" s="418"/>
    </row>
    <row r="5" spans="1:28">
      <c r="A5" s="417"/>
      <c r="B5" s="418"/>
      <c r="C5" s="418"/>
      <c r="D5" s="418"/>
      <c r="E5" s="420"/>
      <c r="F5" s="418"/>
      <c r="G5" s="418"/>
    </row>
    <row r="6" spans="1:28">
      <c r="A6" s="130"/>
      <c r="B6" s="418"/>
      <c r="C6" s="418"/>
      <c r="D6" s="418"/>
      <c r="E6" s="420"/>
      <c r="F6" s="418"/>
      <c r="G6" s="418"/>
    </row>
    <row r="7" spans="1:28">
      <c r="A7" s="130"/>
      <c r="B7" s="104" t="s">
        <v>2</v>
      </c>
      <c r="C7" s="111"/>
      <c r="D7" s="111"/>
      <c r="E7" s="421"/>
      <c r="F7" s="111"/>
      <c r="G7" s="104"/>
      <c r="H7" s="104"/>
      <c r="I7" s="104"/>
    </row>
    <row r="8" spans="1:28">
      <c r="A8" s="130"/>
      <c r="B8" s="111"/>
      <c r="C8" s="107"/>
      <c r="D8" s="111"/>
      <c r="E8" s="421"/>
      <c r="F8" s="111"/>
      <c r="G8" s="422" t="s">
        <v>181</v>
      </c>
      <c r="H8" s="104"/>
      <c r="I8" s="104"/>
    </row>
    <row r="9" spans="1:28">
      <c r="A9" s="130"/>
      <c r="B9" s="107" t="s">
        <v>182</v>
      </c>
      <c r="C9" s="107" t="s">
        <v>183</v>
      </c>
      <c r="D9" s="422" t="s">
        <v>184</v>
      </c>
      <c r="E9" s="422" t="s">
        <v>185</v>
      </c>
      <c r="F9" s="422" t="s">
        <v>186</v>
      </c>
      <c r="G9" s="422" t="s">
        <v>187</v>
      </c>
      <c r="H9" s="104"/>
      <c r="I9" s="104"/>
    </row>
    <row r="10" spans="1:28">
      <c r="A10" s="130"/>
      <c r="B10" s="109"/>
      <c r="C10" s="109"/>
      <c r="D10" s="109"/>
      <c r="E10" s="423"/>
      <c r="F10" s="109"/>
      <c r="G10" s="109"/>
      <c r="H10" s="104"/>
      <c r="I10" s="104"/>
    </row>
    <row r="11" spans="1:28">
      <c r="A11" s="130"/>
      <c r="B11" s="107"/>
      <c r="C11" s="109"/>
      <c r="D11" s="109"/>
      <c r="E11" s="423"/>
      <c r="F11" s="109"/>
      <c r="G11" s="109"/>
      <c r="H11" s="104"/>
      <c r="I11" s="104"/>
    </row>
    <row r="12" spans="1:28">
      <c r="A12" s="130"/>
      <c r="B12" s="424" t="s">
        <v>188</v>
      </c>
      <c r="C12" s="425">
        <f>'3 - STD Cost Rate'!C23</f>
        <v>172711821</v>
      </c>
      <c r="D12" s="426">
        <f>ROUND(C12/C$27,4)</f>
        <v>1.84E-2</v>
      </c>
      <c r="E12" s="427">
        <f>'3 - STD Cost Rate'!E23</f>
        <v>2764344.8306596046</v>
      </c>
      <c r="F12" s="428">
        <f>ROUND(E12/C12,4)</f>
        <v>1.6E-2</v>
      </c>
      <c r="G12" s="429">
        <f>ROUND(+D12*F12,4)</f>
        <v>2.9999999999999997E-4</v>
      </c>
      <c r="H12" s="104"/>
      <c r="I12" s="104"/>
    </row>
    <row r="13" spans="1:28">
      <c r="A13" s="130"/>
      <c r="B13" s="424"/>
      <c r="C13" s="425"/>
      <c r="D13" s="426"/>
      <c r="E13" s="427"/>
      <c r="F13" s="428"/>
      <c r="G13" s="429"/>
      <c r="H13" s="104"/>
      <c r="I13" s="104"/>
    </row>
    <row r="14" spans="1:28" hidden="1" outlineLevel="1">
      <c r="A14" s="130"/>
      <c r="B14" s="430" t="s">
        <v>189</v>
      </c>
      <c r="C14" s="431">
        <f>'6 - LTD Cost '!S27</f>
        <v>4823860000</v>
      </c>
      <c r="D14" s="432">
        <f>ROUND(C14/C$27,4)</f>
        <v>0.51419999999999999</v>
      </c>
      <c r="E14" s="433">
        <f>'6 - LTD Cost '!X27</f>
        <v>244374128</v>
      </c>
      <c r="F14" s="434">
        <f>ROUND(E14/C14,4)</f>
        <v>5.0700000000000002E-2</v>
      </c>
      <c r="G14" s="435">
        <f>ROUND(+D14*F14,4)</f>
        <v>2.6100000000000002E-2</v>
      </c>
      <c r="H14" s="104"/>
      <c r="I14" s="104"/>
    </row>
    <row r="15" spans="1:28" hidden="1" outlineLevel="1">
      <c r="A15" s="130"/>
      <c r="B15" s="430" t="s">
        <v>190</v>
      </c>
      <c r="C15" s="431"/>
      <c r="D15" s="432"/>
      <c r="E15" s="433"/>
      <c r="F15" s="434"/>
      <c r="G15" s="435"/>
      <c r="H15" s="104"/>
      <c r="I15" s="104"/>
    </row>
    <row r="16" spans="1:28" hidden="1" outlineLevel="1">
      <c r="A16" s="130"/>
      <c r="B16" s="430" t="s">
        <v>191</v>
      </c>
      <c r="C16" s="431"/>
      <c r="D16" s="432"/>
      <c r="E16" s="433"/>
      <c r="F16" s="434"/>
      <c r="G16" s="435"/>
      <c r="H16" s="104"/>
      <c r="I16" s="104"/>
    </row>
    <row r="17" spans="1:9" hidden="1" outlineLevel="1">
      <c r="A17" s="130"/>
      <c r="B17" s="430" t="s">
        <v>192</v>
      </c>
      <c r="C17" s="436"/>
      <c r="D17" s="432">
        <f>ROUND(C17/C$27,4)</f>
        <v>0</v>
      </c>
      <c r="E17" s="437"/>
      <c r="F17" s="434"/>
      <c r="G17" s="435">
        <f>ROUND(+D17*F17,4)</f>
        <v>0</v>
      </c>
      <c r="H17" s="104"/>
      <c r="I17" s="104"/>
    </row>
    <row r="18" spans="1:9" hidden="1" outlineLevel="1">
      <c r="A18" s="130"/>
      <c r="B18" s="438"/>
      <c r="C18" s="425"/>
      <c r="D18" s="426" t="s">
        <v>2</v>
      </c>
      <c r="E18" s="427"/>
      <c r="F18" s="428"/>
      <c r="G18" s="429"/>
      <c r="H18" s="104"/>
      <c r="I18" s="104"/>
    </row>
    <row r="19" spans="1:9" collapsed="1">
      <c r="A19" s="130"/>
      <c r="B19" s="439" t="s">
        <v>193</v>
      </c>
      <c r="C19" s="425">
        <f>SUM(C14:C18)</f>
        <v>4823860000</v>
      </c>
      <c r="D19" s="426">
        <f>ROUND(C19/C27,4)</f>
        <v>0.51419999999999999</v>
      </c>
      <c r="E19" s="425">
        <f>SUM(E14:E18)</f>
        <v>244374128</v>
      </c>
      <c r="F19" s="440">
        <f>ROUND(E19/C19,4)</f>
        <v>5.0700000000000002E-2</v>
      </c>
      <c r="G19" s="429">
        <f>ROUND(+D19*F19,4)</f>
        <v>2.6100000000000002E-2</v>
      </c>
      <c r="H19" s="104"/>
      <c r="I19" s="104"/>
    </row>
    <row r="20" spans="1:9">
      <c r="A20" s="130"/>
      <c r="B20" s="109"/>
      <c r="C20" s="441"/>
      <c r="D20" s="441"/>
      <c r="E20" s="427"/>
      <c r="F20" s="441"/>
      <c r="G20" s="441"/>
      <c r="H20" s="104"/>
      <c r="I20" s="104"/>
    </row>
    <row r="21" spans="1:9">
      <c r="A21" s="130"/>
      <c r="B21" s="110" t="s">
        <v>194</v>
      </c>
      <c r="C21" s="442">
        <f>C19+C12</f>
        <v>4996571821</v>
      </c>
      <c r="D21" s="443">
        <f>ROUND(C21/$C$27,4)</f>
        <v>0.53259999999999996</v>
      </c>
      <c r="E21" s="444">
        <f>E19+E12</f>
        <v>247138472.8306596</v>
      </c>
      <c r="F21" s="445">
        <f>ROUND(E21/C21,4)</f>
        <v>4.9500000000000002E-2</v>
      </c>
      <c r="G21" s="446">
        <f>ROUND(+D21*F21,4)</f>
        <v>2.64E-2</v>
      </c>
      <c r="H21" s="104"/>
      <c r="I21" s="104"/>
    </row>
    <row r="22" spans="1:9">
      <c r="A22" s="130"/>
      <c r="B22" s="111"/>
      <c r="C22" s="447"/>
      <c r="D22" s="426"/>
      <c r="E22" s="427"/>
      <c r="F22" s="447"/>
      <c r="G22" s="447"/>
      <c r="H22" s="104"/>
      <c r="I22" s="104"/>
    </row>
    <row r="23" spans="1:9">
      <c r="A23" s="130"/>
      <c r="B23" s="110" t="s">
        <v>195</v>
      </c>
      <c r="C23" s="448">
        <v>0</v>
      </c>
      <c r="D23" s="426">
        <f>ROUND(C23/$C$27,4)</f>
        <v>0</v>
      </c>
      <c r="E23" s="449">
        <v>0</v>
      </c>
      <c r="F23" s="476">
        <v>0</v>
      </c>
      <c r="G23" s="429">
        <f>ROUND(+D23*F23,4)</f>
        <v>0</v>
      </c>
      <c r="H23" s="104"/>
      <c r="I23" s="104"/>
    </row>
    <row r="24" spans="1:9">
      <c r="A24" s="130"/>
      <c r="B24" s="111"/>
      <c r="C24" s="425"/>
      <c r="D24" s="426"/>
      <c r="E24" s="427"/>
      <c r="F24" s="447"/>
      <c r="G24" s="447"/>
      <c r="H24" s="104"/>
      <c r="I24" s="104"/>
    </row>
    <row r="25" spans="1:9">
      <c r="A25" s="130"/>
      <c r="B25" s="110" t="s">
        <v>201</v>
      </c>
      <c r="C25" s="442">
        <f>'2 - CapStructure'!I34-'2 - CapStructure'!L38</f>
        <v>4385109364</v>
      </c>
      <c r="D25" s="443">
        <f>ROUND(C25/$C$27,4)</f>
        <v>0.46739999999999998</v>
      </c>
      <c r="E25" s="450"/>
      <c r="F25" s="451" t="e">
        <f>#REF!</f>
        <v>#REF!</v>
      </c>
      <c r="G25" s="446" t="e">
        <f>ROUND(+D25*F25,4)</f>
        <v>#REF!</v>
      </c>
      <c r="H25" s="104"/>
      <c r="I25" s="104"/>
    </row>
    <row r="26" spans="1:9">
      <c r="A26" s="130"/>
      <c r="B26" s="111"/>
      <c r="C26" s="452"/>
      <c r="D26" s="453"/>
      <c r="E26" s="427"/>
      <c r="F26" s="447"/>
      <c r="G26" s="452"/>
      <c r="H26" s="104"/>
      <c r="I26" s="104"/>
    </row>
    <row r="27" spans="1:9">
      <c r="A27" s="130"/>
      <c r="B27" s="110" t="s">
        <v>166</v>
      </c>
      <c r="C27" s="454">
        <f>SUM(C21:C25)</f>
        <v>9381681185</v>
      </c>
      <c r="D27" s="455">
        <f>SUM(D21:D25)</f>
        <v>1</v>
      </c>
      <c r="E27" s="456"/>
      <c r="F27" s="457"/>
      <c r="G27" s="458" t="e">
        <f>SUM(G21:G25)</f>
        <v>#REF!</v>
      </c>
      <c r="H27" s="104"/>
      <c r="I27" s="104"/>
    </row>
    <row r="28" spans="1:9">
      <c r="A28" s="130"/>
      <c r="B28" s="104"/>
      <c r="C28" s="447"/>
      <c r="D28" s="447"/>
      <c r="E28" s="459"/>
      <c r="F28" s="447"/>
      <c r="G28" s="447"/>
      <c r="H28" s="104"/>
      <c r="I28" s="104"/>
    </row>
    <row r="29" spans="1:9">
      <c r="A29" s="130"/>
      <c r="B29" s="104"/>
      <c r="C29" s="447"/>
      <c r="D29" s="447"/>
      <c r="E29" s="459"/>
      <c r="F29" s="447" t="s">
        <v>2</v>
      </c>
      <c r="G29" s="447"/>
      <c r="H29" s="104"/>
      <c r="I29" s="104"/>
    </row>
    <row r="30" spans="1:9">
      <c r="A30" s="130"/>
      <c r="B30" s="104"/>
      <c r="C30" s="460"/>
      <c r="D30" s="104"/>
      <c r="E30" s="461"/>
      <c r="F30" s="104"/>
      <c r="G30" s="104"/>
      <c r="H30" s="104"/>
      <c r="I30" s="104"/>
    </row>
    <row r="31" spans="1:9">
      <c r="A31" s="130"/>
      <c r="B31" s="462" t="s">
        <v>196</v>
      </c>
      <c r="C31" s="418"/>
      <c r="D31" s="418"/>
      <c r="E31" s="420"/>
      <c r="F31" s="418"/>
      <c r="G31" s="418"/>
    </row>
    <row r="32" spans="1:9">
      <c r="A32" s="130"/>
      <c r="B32" s="463" t="s">
        <v>197</v>
      </c>
      <c r="C32" s="418"/>
      <c r="D32" s="418"/>
      <c r="E32" s="420"/>
      <c r="F32" s="418"/>
      <c r="G32" s="418"/>
    </row>
    <row r="33" spans="1:7">
      <c r="A33" s="130"/>
      <c r="B33" s="464" t="s">
        <v>200</v>
      </c>
      <c r="C33" s="418"/>
      <c r="D33" s="418"/>
      <c r="E33" s="420"/>
      <c r="F33" s="418"/>
      <c r="G33" s="418"/>
    </row>
    <row r="34" spans="1:7">
      <c r="A34" s="465"/>
      <c r="B34" s="462" t="s">
        <v>202</v>
      </c>
      <c r="C34" s="418"/>
      <c r="D34" s="418"/>
      <c r="E34" s="420"/>
      <c r="F34" s="418"/>
      <c r="G34" s="418"/>
    </row>
    <row r="35" spans="1:7">
      <c r="A35" s="465"/>
      <c r="B35" s="418"/>
      <c r="C35" s="418"/>
      <c r="D35" s="418"/>
      <c r="E35" s="420"/>
      <c r="F35" s="418"/>
      <c r="G35" s="418"/>
    </row>
    <row r="36" spans="1:7">
      <c r="A36" s="417"/>
      <c r="B36" s="418"/>
      <c r="C36" s="418"/>
      <c r="D36" s="418"/>
      <c r="E36" s="420"/>
      <c r="F36" s="418"/>
      <c r="G36" s="418"/>
    </row>
    <row r="40" spans="1:7">
      <c r="B40" s="410" t="s">
        <v>294</v>
      </c>
      <c r="C40" s="571">
        <f>C19</f>
        <v>4823860000</v>
      </c>
    </row>
    <row r="41" spans="1:7">
      <c r="B41" s="410" t="s">
        <v>295</v>
      </c>
      <c r="C41" s="572">
        <f>C25</f>
        <v>4385109364</v>
      </c>
      <c r="D41" s="467"/>
      <c r="E41" s="468"/>
    </row>
    <row r="42" spans="1:7">
      <c r="B42" s="410" t="s">
        <v>16</v>
      </c>
      <c r="C42" s="571">
        <f>SUM(C40:C41)</f>
        <v>9208969364</v>
      </c>
      <c r="D42" s="467"/>
      <c r="E42" s="468"/>
    </row>
    <row r="43" spans="1:7">
      <c r="C43" s="466"/>
      <c r="D43" s="467"/>
      <c r="E43" s="468"/>
    </row>
    <row r="44" spans="1:7">
      <c r="C44" s="466"/>
      <c r="D44" s="467"/>
      <c r="E44" s="468"/>
    </row>
    <row r="45" spans="1:7">
      <c r="C45" s="466"/>
      <c r="D45" s="467"/>
      <c r="E45" s="468"/>
    </row>
    <row r="46" spans="1:7">
      <c r="C46" s="466"/>
      <c r="D46" s="467"/>
      <c r="E46" s="468"/>
    </row>
    <row r="47" spans="1:7">
      <c r="D47" s="467"/>
      <c r="E47" s="468"/>
    </row>
    <row r="48" spans="1:7">
      <c r="C48" s="466"/>
      <c r="D48" s="467"/>
      <c r="E48" s="468"/>
    </row>
    <row r="49" spans="4:5">
      <c r="D49" s="469"/>
      <c r="E49" s="470"/>
    </row>
  </sheetData>
  <phoneticPr fontId="25"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10"/>
  <sheetViews>
    <sheetView workbookViewId="0">
      <selection activeCell="J49" sqref="J49"/>
    </sheetView>
  </sheetViews>
  <sheetFormatPr defaultColWidth="10.6640625" defaultRowHeight="12"/>
  <cols>
    <col min="1" max="16384" width="10.6640625" style="508"/>
  </cols>
  <sheetData>
    <row r="1" spans="1:7" s="507" customFormat="1" ht="59.25">
      <c r="A1" s="506" t="s">
        <v>229</v>
      </c>
      <c r="B1" s="506"/>
      <c r="C1" s="506"/>
      <c r="D1" s="506"/>
      <c r="E1" s="506"/>
      <c r="F1" s="506"/>
      <c r="G1" s="506"/>
    </row>
    <row r="10" spans="1:7">
      <c r="B10" s="509"/>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168</v>
      </c>
      <c r="X4" s="472" t="s">
        <v>198</v>
      </c>
    </row>
    <row r="5" spans="1:25" ht="33.75">
      <c r="A5" s="361">
        <v>1</v>
      </c>
      <c r="B5" s="362" t="s">
        <v>127</v>
      </c>
      <c r="C5" s="362" t="s">
        <v>100</v>
      </c>
      <c r="D5" s="362" t="s">
        <v>57</v>
      </c>
      <c r="E5" s="362" t="s">
        <v>104</v>
      </c>
      <c r="F5" s="362" t="s">
        <v>117</v>
      </c>
      <c r="G5" s="362" t="s">
        <v>84</v>
      </c>
      <c r="H5" s="362" t="s">
        <v>94</v>
      </c>
      <c r="I5" s="362" t="s">
        <v>80</v>
      </c>
      <c r="J5" s="363">
        <v>41560</v>
      </c>
      <c r="K5" s="363">
        <v>41591</v>
      </c>
      <c r="L5" s="363">
        <v>41621</v>
      </c>
      <c r="M5" s="363" t="e">
        <f>'2 - CapStructure'!#REF!</f>
        <v>#REF!</v>
      </c>
      <c r="N5" s="363">
        <f>'2 - CapStructure'!C6</f>
        <v>44196</v>
      </c>
      <c r="O5" s="363">
        <f>'2 - CapStructure'!D6</f>
        <v>44227</v>
      </c>
      <c r="P5" s="363">
        <f>'2 - CapStructure'!E6</f>
        <v>44255</v>
      </c>
      <c r="Q5" s="363">
        <f>'2 - CapStructure'!F6</f>
        <v>44286</v>
      </c>
      <c r="R5" s="363">
        <f>'2 - CapStructure'!G6</f>
        <v>44316</v>
      </c>
      <c r="S5" s="363">
        <f>'2 - CapStructure'!H6</f>
        <v>44347</v>
      </c>
      <c r="T5" s="363">
        <f>'2 - CapStructure'!I6</f>
        <v>44377</v>
      </c>
      <c r="U5" s="363">
        <f>'2 - CapStructure'!J6</f>
        <v>44408</v>
      </c>
      <c r="X5" s="473" t="s">
        <v>38</v>
      </c>
      <c r="Y5" s="473" t="s">
        <v>199</v>
      </c>
    </row>
    <row r="6" spans="1:25">
      <c r="A6" s="133">
        <f>A5+1</f>
        <v>2</v>
      </c>
      <c r="B6" s="137" t="s">
        <v>22</v>
      </c>
      <c r="C6" s="282">
        <v>6.9000000000000006E-2</v>
      </c>
      <c r="D6" s="283">
        <v>34242</v>
      </c>
      <c r="E6" s="283">
        <v>41548</v>
      </c>
      <c r="F6" s="272">
        <f>ROUND(((+J6+U6)+(SUM(K6:T6)*2))/22,0)</f>
        <v>0</v>
      </c>
      <c r="G6" s="284">
        <v>98.82208</v>
      </c>
      <c r="H6" s="182">
        <f t="shared" ref="H6:H27" si="0">ROUND(YIELD(D6,E6,C6,G6,100,2,2),4)</f>
        <v>7.0099999999999996E-2</v>
      </c>
      <c r="I6" s="272">
        <f t="shared" ref="I6:I27" si="1">ROUND(+H6*F6,0)</f>
        <v>0</v>
      </c>
      <c r="J6" s="272">
        <v>0</v>
      </c>
      <c r="K6" s="272">
        <v>0</v>
      </c>
      <c r="L6" s="272">
        <v>0</v>
      </c>
      <c r="M6" s="272">
        <v>0</v>
      </c>
      <c r="N6" s="272">
        <v>0</v>
      </c>
      <c r="O6" s="272">
        <v>0</v>
      </c>
      <c r="P6" s="272">
        <v>0</v>
      </c>
      <c r="Q6" s="272">
        <v>0</v>
      </c>
      <c r="R6" s="272">
        <v>0</v>
      </c>
      <c r="S6" s="272">
        <v>0</v>
      </c>
      <c r="T6" s="272">
        <v>0</v>
      </c>
      <c r="U6" s="272">
        <v>0</v>
      </c>
      <c r="X6" s="272">
        <f t="shared" ref="X6:X27" si="2">H6*U6</f>
        <v>0</v>
      </c>
    </row>
    <row r="7" spans="1:25">
      <c r="A7" s="133">
        <f>A6+1</f>
        <v>3</v>
      </c>
      <c r="B7" s="137" t="s">
        <v>23</v>
      </c>
      <c r="C7" s="282">
        <v>7.3499999999999996E-2</v>
      </c>
      <c r="D7" s="283">
        <v>34953</v>
      </c>
      <c r="E7" s="283">
        <v>42258</v>
      </c>
      <c r="F7" s="272">
        <f t="shared" ref="F7:F27" si="3">ROUND(((+J7+U7)+(SUM(K7:T7)*2))/22,0)</f>
        <v>10000000</v>
      </c>
      <c r="G7" s="284">
        <v>98.84387199999999</v>
      </c>
      <c r="H7" s="182">
        <f t="shared" si="0"/>
        <v>7.46E-2</v>
      </c>
      <c r="I7" s="272">
        <f t="shared" si="1"/>
        <v>746000</v>
      </c>
      <c r="J7" s="272">
        <v>10000000</v>
      </c>
      <c r="K7" s="272">
        <v>10000000</v>
      </c>
      <c r="L7" s="272">
        <v>10000000</v>
      </c>
      <c r="M7" s="272">
        <v>10000000</v>
      </c>
      <c r="N7" s="272">
        <v>10000000</v>
      </c>
      <c r="O7" s="272">
        <v>10000000</v>
      </c>
      <c r="P7" s="272">
        <v>10000000</v>
      </c>
      <c r="Q7" s="272">
        <v>10000000</v>
      </c>
      <c r="R7" s="272">
        <v>10000000</v>
      </c>
      <c r="S7" s="272">
        <v>10000000</v>
      </c>
      <c r="T7" s="272">
        <v>10000000</v>
      </c>
      <c r="U7" s="272">
        <v>10000000</v>
      </c>
      <c r="X7" s="272">
        <f t="shared" si="2"/>
        <v>746000</v>
      </c>
    </row>
    <row r="8" spans="1:25" s="27" customFormat="1">
      <c r="A8" s="133">
        <f>A7+1</f>
        <v>4</v>
      </c>
      <c r="B8" s="137" t="s">
        <v>23</v>
      </c>
      <c r="C8" s="282">
        <v>7.3599999999999999E-2</v>
      </c>
      <c r="D8" s="283">
        <v>34953</v>
      </c>
      <c r="E8" s="283">
        <v>42262</v>
      </c>
      <c r="F8" s="272">
        <f t="shared" si="3"/>
        <v>2000000</v>
      </c>
      <c r="G8" s="284">
        <v>98.843919999999997</v>
      </c>
      <c r="H8" s="182">
        <f t="shared" si="0"/>
        <v>7.4700000000000003E-2</v>
      </c>
      <c r="I8" s="272">
        <f t="shared" si="1"/>
        <v>149400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X8" s="272">
        <f t="shared" si="2"/>
        <v>149400</v>
      </c>
      <c r="Y8" s="23"/>
    </row>
    <row r="9" spans="1:25" s="27" customFormat="1">
      <c r="A9" s="133">
        <f>A8+1</f>
        <v>5</v>
      </c>
      <c r="B9" s="137" t="s">
        <v>95</v>
      </c>
      <c r="C9" s="282">
        <v>5.1970000000000002E-2</v>
      </c>
      <c r="D9" s="283">
        <v>38637</v>
      </c>
      <c r="E9" s="283">
        <v>42278</v>
      </c>
      <c r="F9" s="272">
        <f t="shared" si="3"/>
        <v>150000000</v>
      </c>
      <c r="G9" s="284">
        <v>99.193039993333343</v>
      </c>
      <c r="H9" s="182">
        <f t="shared" si="0"/>
        <v>5.2999999999999999E-2</v>
      </c>
      <c r="I9" s="272">
        <f>ROUND(+H9*F9,0)</f>
        <v>7950000</v>
      </c>
      <c r="J9" s="272">
        <v>150000000</v>
      </c>
      <c r="K9" s="272">
        <v>150000000</v>
      </c>
      <c r="L9" s="272">
        <v>150000000</v>
      </c>
      <c r="M9" s="272">
        <v>150000000</v>
      </c>
      <c r="N9" s="272">
        <v>150000000</v>
      </c>
      <c r="O9" s="272">
        <v>150000000</v>
      </c>
      <c r="P9" s="272">
        <v>150000000</v>
      </c>
      <c r="Q9" s="272">
        <v>150000000</v>
      </c>
      <c r="R9" s="272">
        <v>150000000</v>
      </c>
      <c r="S9" s="272">
        <v>150000000</v>
      </c>
      <c r="T9" s="272">
        <v>150000000</v>
      </c>
      <c r="U9" s="272">
        <v>150000000</v>
      </c>
      <c r="X9" s="272">
        <f t="shared" si="2"/>
        <v>7950000</v>
      </c>
      <c r="Y9" s="23"/>
    </row>
    <row r="10" spans="1:25" s="27" customFormat="1">
      <c r="A10" s="133">
        <f t="shared" ref="A10:A34" si="4">A9+1</f>
        <v>6</v>
      </c>
      <c r="B10" s="137" t="s">
        <v>95</v>
      </c>
      <c r="C10" s="282">
        <v>6.7500000000000004E-2</v>
      </c>
      <c r="D10" s="283">
        <v>39836</v>
      </c>
      <c r="E10" s="283">
        <v>42384</v>
      </c>
      <c r="F10" s="272">
        <f t="shared" si="3"/>
        <v>250000000</v>
      </c>
      <c r="G10" s="284">
        <v>99.239900000000006</v>
      </c>
      <c r="H10" s="182">
        <f t="shared" si="0"/>
        <v>6.8900000000000003E-2</v>
      </c>
      <c r="I10" s="272">
        <f>ROUND(+H10*F10,0)</f>
        <v>17225000</v>
      </c>
      <c r="J10" s="272">
        <v>250000000</v>
      </c>
      <c r="K10" s="272">
        <v>250000000</v>
      </c>
      <c r="L10" s="272">
        <v>250000000</v>
      </c>
      <c r="M10" s="272">
        <v>250000000</v>
      </c>
      <c r="N10" s="272">
        <v>250000000</v>
      </c>
      <c r="O10" s="272">
        <v>250000000</v>
      </c>
      <c r="P10" s="272">
        <v>250000000</v>
      </c>
      <c r="Q10" s="272">
        <v>250000000</v>
      </c>
      <c r="R10" s="272">
        <v>250000000</v>
      </c>
      <c r="S10" s="272">
        <v>250000000</v>
      </c>
      <c r="T10" s="272">
        <v>250000000</v>
      </c>
      <c r="U10" s="272">
        <v>250000000</v>
      </c>
      <c r="X10" s="272">
        <f t="shared" si="2"/>
        <v>17225000</v>
      </c>
      <c r="Y10" s="23"/>
    </row>
    <row r="11" spans="1:25" s="27" customFormat="1">
      <c r="A11" s="133">
        <f t="shared" si="4"/>
        <v>7</v>
      </c>
      <c r="B11" s="137" t="s">
        <v>21</v>
      </c>
      <c r="C11" s="282">
        <v>6.7400000000000002E-2</v>
      </c>
      <c r="D11" s="283">
        <v>35961</v>
      </c>
      <c r="E11" s="283">
        <v>43266</v>
      </c>
      <c r="F11" s="272">
        <f t="shared" si="3"/>
        <v>200000000</v>
      </c>
      <c r="G11" s="284">
        <v>98.98509159000001</v>
      </c>
      <c r="H11" s="182">
        <f t="shared" si="0"/>
        <v>6.83E-2</v>
      </c>
      <c r="I11" s="272">
        <f t="shared" si="1"/>
        <v>13660000</v>
      </c>
      <c r="J11" s="272">
        <v>200000000</v>
      </c>
      <c r="K11" s="272">
        <v>200000000</v>
      </c>
      <c r="L11" s="272">
        <v>200000000</v>
      </c>
      <c r="M11" s="272">
        <v>200000000</v>
      </c>
      <c r="N11" s="272">
        <v>200000000</v>
      </c>
      <c r="O11" s="272">
        <v>200000000</v>
      </c>
      <c r="P11" s="272">
        <v>200000000</v>
      </c>
      <c r="Q11" s="272">
        <v>200000000</v>
      </c>
      <c r="R11" s="272">
        <v>200000000</v>
      </c>
      <c r="S11" s="272">
        <v>200000000</v>
      </c>
      <c r="T11" s="272">
        <v>200000000</v>
      </c>
      <c r="U11" s="272">
        <v>200000000</v>
      </c>
      <c r="X11" s="272">
        <f t="shared" si="2"/>
        <v>13660000</v>
      </c>
    </row>
    <row r="12" spans="1:25" s="28" customFormat="1">
      <c r="A12" s="133">
        <f>A11+1</f>
        <v>8</v>
      </c>
      <c r="B12" s="137" t="s">
        <v>23</v>
      </c>
      <c r="C12" s="282">
        <v>7.1499999999999994E-2</v>
      </c>
      <c r="D12" s="283">
        <v>35053</v>
      </c>
      <c r="E12" s="283">
        <v>46010</v>
      </c>
      <c r="F12" s="272">
        <f t="shared" si="3"/>
        <v>15000000</v>
      </c>
      <c r="G12" s="284">
        <v>99.211911999999998</v>
      </c>
      <c r="H12" s="182">
        <f t="shared" si="0"/>
        <v>7.2099999999999997E-2</v>
      </c>
      <c r="I12" s="272">
        <f t="shared" si="1"/>
        <v>1081500</v>
      </c>
      <c r="J12" s="272">
        <v>15000000</v>
      </c>
      <c r="K12" s="272">
        <v>15000000</v>
      </c>
      <c r="L12" s="272">
        <v>15000000</v>
      </c>
      <c r="M12" s="272">
        <v>15000000</v>
      </c>
      <c r="N12" s="272">
        <v>15000000</v>
      </c>
      <c r="O12" s="272">
        <v>15000000</v>
      </c>
      <c r="P12" s="272">
        <v>15000000</v>
      </c>
      <c r="Q12" s="272">
        <v>15000000</v>
      </c>
      <c r="R12" s="272">
        <v>15000000</v>
      </c>
      <c r="S12" s="272">
        <v>15000000</v>
      </c>
      <c r="T12" s="272">
        <v>15000000</v>
      </c>
      <c r="U12" s="272">
        <v>15000000</v>
      </c>
      <c r="X12" s="272">
        <f t="shared" si="2"/>
        <v>1081500</v>
      </c>
      <c r="Y12" s="27"/>
    </row>
    <row r="13" spans="1:25" s="28" customFormat="1">
      <c r="A13" s="133">
        <f t="shared" si="4"/>
        <v>9</v>
      </c>
      <c r="B13" s="137" t="s">
        <v>23</v>
      </c>
      <c r="C13" s="282">
        <v>7.1999999999999995E-2</v>
      </c>
      <c r="D13" s="283">
        <v>35054</v>
      </c>
      <c r="E13" s="283">
        <v>46013</v>
      </c>
      <c r="F13" s="272">
        <f t="shared" si="3"/>
        <v>2000000</v>
      </c>
      <c r="G13" s="284">
        <v>99.211600000000004</v>
      </c>
      <c r="H13" s="182">
        <f t="shared" si="0"/>
        <v>7.2599999999999998E-2</v>
      </c>
      <c r="I13" s="272">
        <f t="shared" si="1"/>
        <v>145200</v>
      </c>
      <c r="J13" s="272">
        <v>2000000</v>
      </c>
      <c r="K13" s="272">
        <v>2000000</v>
      </c>
      <c r="L13" s="272">
        <v>2000000</v>
      </c>
      <c r="M13" s="272">
        <v>2000000</v>
      </c>
      <c r="N13" s="272">
        <v>2000000</v>
      </c>
      <c r="O13" s="272">
        <v>2000000</v>
      </c>
      <c r="P13" s="272">
        <v>2000000</v>
      </c>
      <c r="Q13" s="272">
        <v>2000000</v>
      </c>
      <c r="R13" s="272">
        <v>2000000</v>
      </c>
      <c r="S13" s="272">
        <v>2000000</v>
      </c>
      <c r="T13" s="272">
        <v>2000000</v>
      </c>
      <c r="U13" s="272">
        <v>2000000</v>
      </c>
      <c r="X13" s="272">
        <f t="shared" si="2"/>
        <v>145200</v>
      </c>
    </row>
    <row r="14" spans="1:25" s="28" customFormat="1">
      <c r="A14" s="133">
        <f t="shared" si="4"/>
        <v>10</v>
      </c>
      <c r="B14" s="137" t="s">
        <v>21</v>
      </c>
      <c r="C14" s="282">
        <v>7.0199999999999999E-2</v>
      </c>
      <c r="D14" s="283">
        <v>35786</v>
      </c>
      <c r="E14" s="283">
        <v>46722</v>
      </c>
      <c r="F14" s="272">
        <f t="shared" si="3"/>
        <v>300000000</v>
      </c>
      <c r="G14" s="284">
        <v>98.985735776666658</v>
      </c>
      <c r="H14" s="182">
        <f t="shared" si="0"/>
        <v>7.0999999999999994E-2</v>
      </c>
      <c r="I14" s="272">
        <f t="shared" si="1"/>
        <v>21300000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X14" s="272">
        <f t="shared" si="2"/>
        <v>21299999.999999996</v>
      </c>
    </row>
    <row r="15" spans="1:25">
      <c r="A15" s="133">
        <f t="shared" si="4"/>
        <v>11</v>
      </c>
      <c r="B15" s="137" t="s">
        <v>22</v>
      </c>
      <c r="C15" s="282">
        <v>7.0000000000000007E-2</v>
      </c>
      <c r="D15" s="283">
        <v>36228</v>
      </c>
      <c r="E15" s="283">
        <v>47186</v>
      </c>
      <c r="F15" s="272">
        <f t="shared" si="3"/>
        <v>100000000</v>
      </c>
      <c r="G15" s="284">
        <v>99.042870549999989</v>
      </c>
      <c r="H15" s="182">
        <f t="shared" si="0"/>
        <v>7.0800000000000002E-2</v>
      </c>
      <c r="I15" s="272">
        <f t="shared" si="1"/>
        <v>7080000</v>
      </c>
      <c r="J15" s="272">
        <v>100000000</v>
      </c>
      <c r="K15" s="272">
        <v>100000000</v>
      </c>
      <c r="L15" s="272">
        <v>100000000</v>
      </c>
      <c r="M15" s="272">
        <v>100000000</v>
      </c>
      <c r="N15" s="272">
        <v>100000000</v>
      </c>
      <c r="O15" s="272">
        <v>100000000</v>
      </c>
      <c r="P15" s="272">
        <v>100000000</v>
      </c>
      <c r="Q15" s="272">
        <v>100000000</v>
      </c>
      <c r="R15" s="272">
        <v>100000000</v>
      </c>
      <c r="S15" s="272">
        <v>100000000</v>
      </c>
      <c r="T15" s="272">
        <v>100000000</v>
      </c>
      <c r="U15" s="272">
        <v>100000000</v>
      </c>
      <c r="X15" s="272">
        <f t="shared" si="2"/>
        <v>7080000</v>
      </c>
      <c r="Y15" s="28"/>
    </row>
    <row r="16" spans="1:25">
      <c r="A16" s="133">
        <f>A15+1</f>
        <v>12</v>
      </c>
      <c r="B16" s="285" t="s">
        <v>24</v>
      </c>
      <c r="C16" s="282">
        <v>3.9E-2</v>
      </c>
      <c r="D16" s="286">
        <v>41417</v>
      </c>
      <c r="E16" s="287">
        <v>47908</v>
      </c>
      <c r="F16" s="272">
        <f t="shared" si="3"/>
        <v>138460000</v>
      </c>
      <c r="G16" s="284">
        <v>98.939099999999996</v>
      </c>
      <c r="H16" s="182">
        <f t="shared" si="0"/>
        <v>3.9800000000000002E-2</v>
      </c>
      <c r="I16" s="272">
        <f t="shared" si="1"/>
        <v>5510708</v>
      </c>
      <c r="J16" s="272">
        <v>138460000</v>
      </c>
      <c r="K16" s="272">
        <v>138460000</v>
      </c>
      <c r="L16" s="272">
        <v>138460000</v>
      </c>
      <c r="M16" s="272">
        <v>138460000</v>
      </c>
      <c r="N16" s="272">
        <v>138460000</v>
      </c>
      <c r="O16" s="272">
        <v>138460000</v>
      </c>
      <c r="P16" s="272">
        <v>138460000</v>
      </c>
      <c r="Q16" s="272">
        <v>138460000</v>
      </c>
      <c r="R16" s="272">
        <v>138460000</v>
      </c>
      <c r="S16" s="272">
        <v>138460000</v>
      </c>
      <c r="T16" s="272">
        <v>138460000</v>
      </c>
      <c r="U16" s="272">
        <v>138460000</v>
      </c>
      <c r="X16" s="272">
        <f t="shared" si="2"/>
        <v>5510708</v>
      </c>
    </row>
    <row r="17" spans="1:25">
      <c r="A17" s="133">
        <f t="shared" si="4"/>
        <v>13</v>
      </c>
      <c r="B17" s="285" t="s">
        <v>24</v>
      </c>
      <c r="C17" s="282">
        <v>0.04</v>
      </c>
      <c r="D17" s="286">
        <v>41417</v>
      </c>
      <c r="E17" s="287">
        <v>47908</v>
      </c>
      <c r="F17" s="272">
        <f t="shared" si="3"/>
        <v>23400000</v>
      </c>
      <c r="G17" s="284">
        <v>98.939099999999996</v>
      </c>
      <c r="H17" s="182">
        <f t="shared" si="0"/>
        <v>4.0800000000000003E-2</v>
      </c>
      <c r="I17" s="272">
        <f t="shared" si="1"/>
        <v>954720</v>
      </c>
      <c r="J17" s="272">
        <v>23400000</v>
      </c>
      <c r="K17" s="272">
        <v>23400000</v>
      </c>
      <c r="L17" s="272">
        <v>23400000</v>
      </c>
      <c r="M17" s="272">
        <v>23400000</v>
      </c>
      <c r="N17" s="272">
        <v>23400000</v>
      </c>
      <c r="O17" s="272">
        <v>23400000</v>
      </c>
      <c r="P17" s="272">
        <v>23400000</v>
      </c>
      <c r="Q17" s="272">
        <v>23400000</v>
      </c>
      <c r="R17" s="272">
        <v>23400000</v>
      </c>
      <c r="S17" s="272">
        <v>23400000</v>
      </c>
      <c r="T17" s="272">
        <v>23400000</v>
      </c>
      <c r="U17" s="272">
        <v>23400000</v>
      </c>
      <c r="X17" s="272">
        <f t="shared" si="2"/>
        <v>954720.00000000012</v>
      </c>
    </row>
    <row r="18" spans="1:25">
      <c r="A18" s="133">
        <f>A17+1</f>
        <v>14</v>
      </c>
      <c r="B18" s="137" t="s">
        <v>95</v>
      </c>
      <c r="C18" s="282">
        <v>5.4829999999999997E-2</v>
      </c>
      <c r="D18" s="283">
        <v>38499</v>
      </c>
      <c r="E18" s="283">
        <v>49461</v>
      </c>
      <c r="F18" s="272">
        <f t="shared" si="3"/>
        <v>250000000</v>
      </c>
      <c r="G18" s="284">
        <v>84.886606835999999</v>
      </c>
      <c r="H18" s="182">
        <f t="shared" si="0"/>
        <v>6.6500000000000004E-2</v>
      </c>
      <c r="I18" s="275">
        <f t="shared" si="1"/>
        <v>16625000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X18" s="272">
        <f t="shared" si="2"/>
        <v>16625000</v>
      </c>
    </row>
    <row r="19" spans="1:25">
      <c r="A19" s="133">
        <f t="shared" si="4"/>
        <v>15</v>
      </c>
      <c r="B19" s="137" t="s">
        <v>95</v>
      </c>
      <c r="C19" s="282">
        <v>6.7239999999999994E-2</v>
      </c>
      <c r="D19" s="283">
        <v>38898</v>
      </c>
      <c r="E19" s="283">
        <v>49841</v>
      </c>
      <c r="F19" s="272">
        <f t="shared" si="3"/>
        <v>250000000</v>
      </c>
      <c r="G19" s="284">
        <v>107.515271756</v>
      </c>
      <c r="H19" s="182">
        <f t="shared" si="0"/>
        <v>6.1699999999999998E-2</v>
      </c>
      <c r="I19" s="275">
        <f t="shared" si="1"/>
        <v>15425000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X19" s="272">
        <f t="shared" si="2"/>
        <v>15425000</v>
      </c>
    </row>
    <row r="20" spans="1:25">
      <c r="A20" s="133">
        <f t="shared" si="4"/>
        <v>16</v>
      </c>
      <c r="B20" s="137" t="s">
        <v>95</v>
      </c>
      <c r="C20" s="282">
        <v>6.2740000000000004E-2</v>
      </c>
      <c r="D20" s="283">
        <v>38978</v>
      </c>
      <c r="E20" s="283">
        <v>50114</v>
      </c>
      <c r="F20" s="272">
        <f t="shared" si="3"/>
        <v>300000000</v>
      </c>
      <c r="G20" s="284">
        <v>98.812700000000007</v>
      </c>
      <c r="H20" s="182">
        <f t="shared" si="0"/>
        <v>6.3600000000000004E-2</v>
      </c>
      <c r="I20" s="275">
        <f t="shared" si="1"/>
        <v>19080000</v>
      </c>
      <c r="J20" s="275">
        <v>300000000</v>
      </c>
      <c r="K20" s="275">
        <v>300000000</v>
      </c>
      <c r="L20" s="275">
        <v>300000000</v>
      </c>
      <c r="M20" s="275">
        <v>300000000</v>
      </c>
      <c r="N20" s="275">
        <v>300000000</v>
      </c>
      <c r="O20" s="275">
        <v>300000000</v>
      </c>
      <c r="P20" s="275">
        <v>300000000</v>
      </c>
      <c r="Q20" s="275">
        <v>300000000</v>
      </c>
      <c r="R20" s="275">
        <v>300000000</v>
      </c>
      <c r="S20" s="275">
        <v>300000000</v>
      </c>
      <c r="T20" s="275">
        <v>300000000</v>
      </c>
      <c r="U20" s="275">
        <v>300000000</v>
      </c>
      <c r="X20" s="272">
        <f t="shared" si="2"/>
        <v>19080000</v>
      </c>
    </row>
    <row r="21" spans="1:25">
      <c r="A21" s="133">
        <f t="shared" si="4"/>
        <v>17</v>
      </c>
      <c r="B21" s="137" t="s">
        <v>95</v>
      </c>
      <c r="C21" s="282">
        <v>5.7570000000000003E-2</v>
      </c>
      <c r="D21" s="283">
        <v>40067</v>
      </c>
      <c r="E21" s="283">
        <v>51058</v>
      </c>
      <c r="F21" s="272">
        <f t="shared" si="3"/>
        <v>350000000</v>
      </c>
      <c r="G21" s="284">
        <v>98.983599999999996</v>
      </c>
      <c r="H21" s="182">
        <f t="shared" si="0"/>
        <v>5.8299999999999998E-2</v>
      </c>
      <c r="I21" s="275">
        <f t="shared" si="1"/>
        <v>20405000</v>
      </c>
      <c r="J21" s="275">
        <v>350000000</v>
      </c>
      <c r="K21" s="275">
        <v>350000000</v>
      </c>
      <c r="L21" s="275">
        <v>350000000</v>
      </c>
      <c r="M21" s="275">
        <v>350000000</v>
      </c>
      <c r="N21" s="275">
        <v>350000000</v>
      </c>
      <c r="O21" s="275">
        <v>350000000</v>
      </c>
      <c r="P21" s="275">
        <v>350000000</v>
      </c>
      <c r="Q21" s="275">
        <v>350000000</v>
      </c>
      <c r="R21" s="275">
        <v>350000000</v>
      </c>
      <c r="S21" s="275">
        <v>350000000</v>
      </c>
      <c r="T21" s="275">
        <v>350000000</v>
      </c>
      <c r="U21" s="275">
        <v>350000000</v>
      </c>
      <c r="X21" s="272">
        <f t="shared" si="2"/>
        <v>20405000</v>
      </c>
    </row>
    <row r="22" spans="1:25">
      <c r="A22" s="133">
        <f t="shared" si="4"/>
        <v>18</v>
      </c>
      <c r="B22" s="137" t="s">
        <v>95</v>
      </c>
      <c r="C22" s="282">
        <v>5.7950000000000002E-2</v>
      </c>
      <c r="D22" s="283">
        <v>40245</v>
      </c>
      <c r="E22" s="283">
        <v>51210</v>
      </c>
      <c r="F22" s="272">
        <f t="shared" si="3"/>
        <v>325000000</v>
      </c>
      <c r="G22" s="284">
        <v>98.958799999999997</v>
      </c>
      <c r="H22" s="182">
        <f t="shared" si="0"/>
        <v>5.8700000000000002E-2</v>
      </c>
      <c r="I22" s="275">
        <f t="shared" si="1"/>
        <v>19077500</v>
      </c>
      <c r="J22" s="275">
        <v>325000000</v>
      </c>
      <c r="K22" s="275">
        <v>325000000</v>
      </c>
      <c r="L22" s="275">
        <v>325000000</v>
      </c>
      <c r="M22" s="275">
        <v>325000000</v>
      </c>
      <c r="N22" s="275">
        <v>325000000</v>
      </c>
      <c r="O22" s="275">
        <v>325000000</v>
      </c>
      <c r="P22" s="275">
        <v>325000000</v>
      </c>
      <c r="Q22" s="275">
        <v>325000000</v>
      </c>
      <c r="R22" s="275">
        <v>325000000</v>
      </c>
      <c r="S22" s="275">
        <v>325000000</v>
      </c>
      <c r="T22" s="275">
        <v>325000000</v>
      </c>
      <c r="U22" s="275">
        <v>325000000</v>
      </c>
      <c r="X22" s="272">
        <f t="shared" si="2"/>
        <v>19077500</v>
      </c>
    </row>
    <row r="23" spans="1:25">
      <c r="A23" s="133">
        <f t="shared" si="4"/>
        <v>19</v>
      </c>
      <c r="B23" s="137" t="s">
        <v>95</v>
      </c>
      <c r="C23" s="282">
        <v>5.7639999999999997E-2</v>
      </c>
      <c r="D23" s="283">
        <v>40358</v>
      </c>
      <c r="E23" s="283">
        <v>51332</v>
      </c>
      <c r="F23" s="272">
        <f t="shared" si="3"/>
        <v>250000000</v>
      </c>
      <c r="G23" s="284">
        <v>98.965199999999996</v>
      </c>
      <c r="H23" s="182">
        <f t="shared" si="0"/>
        <v>5.8400000000000001E-2</v>
      </c>
      <c r="I23" s="275">
        <f t="shared" si="1"/>
        <v>14600000</v>
      </c>
      <c r="J23" s="275">
        <v>250000000</v>
      </c>
      <c r="K23" s="275">
        <v>250000000</v>
      </c>
      <c r="L23" s="275">
        <v>250000000</v>
      </c>
      <c r="M23" s="275">
        <v>250000000</v>
      </c>
      <c r="N23" s="275">
        <v>250000000</v>
      </c>
      <c r="O23" s="275">
        <v>250000000</v>
      </c>
      <c r="P23" s="275">
        <v>250000000</v>
      </c>
      <c r="Q23" s="275">
        <v>250000000</v>
      </c>
      <c r="R23" s="275">
        <v>250000000</v>
      </c>
      <c r="S23" s="275">
        <v>250000000</v>
      </c>
      <c r="T23" s="275">
        <v>250000000</v>
      </c>
      <c r="U23" s="275">
        <v>250000000</v>
      </c>
      <c r="X23" s="272">
        <f t="shared" si="2"/>
        <v>14600000</v>
      </c>
    </row>
    <row r="24" spans="1:25">
      <c r="A24" s="133">
        <v>25</v>
      </c>
      <c r="B24" s="137" t="s">
        <v>95</v>
      </c>
      <c r="C24" s="282">
        <v>5.638E-2</v>
      </c>
      <c r="D24" s="283">
        <v>40627</v>
      </c>
      <c r="E24" s="283">
        <v>51606</v>
      </c>
      <c r="F24" s="272">
        <f t="shared" si="3"/>
        <v>300000000</v>
      </c>
      <c r="G24" s="284">
        <v>98.971000000000004</v>
      </c>
      <c r="H24" s="182">
        <f t="shared" si="0"/>
        <v>5.7099999999999998E-2</v>
      </c>
      <c r="I24" s="275">
        <f t="shared" si="1"/>
        <v>17130000</v>
      </c>
      <c r="J24" s="275">
        <v>300000000</v>
      </c>
      <c r="K24" s="275">
        <v>300000000</v>
      </c>
      <c r="L24" s="275">
        <v>300000000</v>
      </c>
      <c r="M24" s="275">
        <v>300000000</v>
      </c>
      <c r="N24" s="275">
        <v>300000000</v>
      </c>
      <c r="O24" s="275">
        <v>300000000</v>
      </c>
      <c r="P24" s="275">
        <v>300000000</v>
      </c>
      <c r="Q24" s="275">
        <v>300000000</v>
      </c>
      <c r="R24" s="275">
        <v>300000000</v>
      </c>
      <c r="S24" s="275">
        <v>300000000</v>
      </c>
      <c r="T24" s="275">
        <v>300000000</v>
      </c>
      <c r="U24" s="275">
        <v>300000000</v>
      </c>
      <c r="X24" s="272">
        <f t="shared" si="2"/>
        <v>17130000</v>
      </c>
    </row>
    <row r="25" spans="1:25">
      <c r="A25" s="133">
        <v>26</v>
      </c>
      <c r="B25" s="137" t="s">
        <v>95</v>
      </c>
      <c r="C25" s="282">
        <v>4.4339999999999997E-2</v>
      </c>
      <c r="D25" s="283">
        <v>40863</v>
      </c>
      <c r="E25" s="283">
        <v>51820</v>
      </c>
      <c r="F25" s="272">
        <f t="shared" si="3"/>
        <v>250000000</v>
      </c>
      <c r="G25" s="284">
        <v>98.962999999999994</v>
      </c>
      <c r="H25" s="182">
        <f t="shared" si="0"/>
        <v>4.4999999999999998E-2</v>
      </c>
      <c r="I25" s="275">
        <f t="shared" si="1"/>
        <v>11250000</v>
      </c>
      <c r="J25" s="275">
        <v>250000000</v>
      </c>
      <c r="K25" s="275">
        <v>250000000</v>
      </c>
      <c r="L25" s="275">
        <v>250000000</v>
      </c>
      <c r="M25" s="275">
        <v>250000000</v>
      </c>
      <c r="N25" s="275">
        <v>250000000</v>
      </c>
      <c r="O25" s="275">
        <v>250000000</v>
      </c>
      <c r="P25" s="275">
        <v>250000000</v>
      </c>
      <c r="Q25" s="275">
        <v>250000000</v>
      </c>
      <c r="R25" s="275">
        <v>250000000</v>
      </c>
      <c r="S25" s="275">
        <v>250000000</v>
      </c>
      <c r="T25" s="275">
        <v>250000000</v>
      </c>
      <c r="U25" s="275">
        <v>250000000</v>
      </c>
      <c r="X25" s="272">
        <f t="shared" si="2"/>
        <v>11250000</v>
      </c>
    </row>
    <row r="26" spans="1:25">
      <c r="A26" s="133">
        <v>27</v>
      </c>
      <c r="B26" s="137" t="s">
        <v>95</v>
      </c>
      <c r="C26" s="282">
        <v>4.7E-2</v>
      </c>
      <c r="D26" s="283">
        <v>40869</v>
      </c>
      <c r="E26" s="283">
        <v>55472</v>
      </c>
      <c r="F26" s="272">
        <f t="shared" si="3"/>
        <v>45000000</v>
      </c>
      <c r="G26" s="284">
        <v>98.863900000000001</v>
      </c>
      <c r="H26" s="182">
        <f t="shared" si="0"/>
        <v>4.7600000000000003E-2</v>
      </c>
      <c r="I26" s="275">
        <f t="shared" si="1"/>
        <v>2142000</v>
      </c>
      <c r="J26" s="275">
        <v>45000000</v>
      </c>
      <c r="K26" s="275">
        <v>45000000</v>
      </c>
      <c r="L26" s="275">
        <v>45000000</v>
      </c>
      <c r="M26" s="275">
        <v>45000000</v>
      </c>
      <c r="N26" s="275">
        <v>45000000</v>
      </c>
      <c r="O26" s="275">
        <v>45000000</v>
      </c>
      <c r="P26" s="275">
        <v>45000000</v>
      </c>
      <c r="Q26" s="275">
        <v>45000000</v>
      </c>
      <c r="R26" s="275">
        <v>45000000</v>
      </c>
      <c r="S26" s="275">
        <v>45000000</v>
      </c>
      <c r="T26" s="275">
        <v>45000000</v>
      </c>
      <c r="U26" s="275">
        <v>45000000</v>
      </c>
      <c r="X26" s="272">
        <f t="shared" si="2"/>
        <v>2142000</v>
      </c>
    </row>
    <row r="27" spans="1:25">
      <c r="A27" s="133">
        <v>28</v>
      </c>
      <c r="B27" s="137" t="s">
        <v>126</v>
      </c>
      <c r="C27" s="282">
        <v>6.9739999999999996E-2</v>
      </c>
      <c r="D27" s="283">
        <v>39237</v>
      </c>
      <c r="E27" s="283">
        <v>42887</v>
      </c>
      <c r="F27" s="272">
        <f t="shared" si="3"/>
        <v>250000000</v>
      </c>
      <c r="G27" s="284">
        <v>98.226200000000006</v>
      </c>
      <c r="H27" s="182">
        <f t="shared" si="0"/>
        <v>7.2300000000000003E-2</v>
      </c>
      <c r="I27" s="275">
        <f t="shared" si="1"/>
        <v>18075000</v>
      </c>
      <c r="J27" s="272">
        <v>250000000</v>
      </c>
      <c r="K27" s="272">
        <v>250000000</v>
      </c>
      <c r="L27" s="272">
        <v>250000000</v>
      </c>
      <c r="M27" s="272">
        <v>250000000</v>
      </c>
      <c r="N27" s="272">
        <v>250000000</v>
      </c>
      <c r="O27" s="272">
        <v>250000000</v>
      </c>
      <c r="P27" s="272">
        <v>250000000</v>
      </c>
      <c r="Q27" s="272">
        <v>250000000</v>
      </c>
      <c r="R27" s="272">
        <v>250000000</v>
      </c>
      <c r="S27" s="272">
        <v>250000000</v>
      </c>
      <c r="T27" s="272">
        <v>250000000</v>
      </c>
      <c r="U27" s="272">
        <v>250000000</v>
      </c>
      <c r="X27" s="272">
        <f t="shared" si="2"/>
        <v>18075000</v>
      </c>
    </row>
    <row r="28" spans="1:25">
      <c r="A28" s="133">
        <f t="shared" si="4"/>
        <v>29</v>
      </c>
      <c r="B28" s="137"/>
      <c r="C28" s="282"/>
      <c r="D28" s="283"/>
      <c r="E28" s="283"/>
      <c r="F28" s="272"/>
      <c r="G28" s="292"/>
      <c r="H28" s="182"/>
      <c r="I28" s="275"/>
      <c r="J28" s="272"/>
      <c r="K28" s="272"/>
      <c r="L28" s="272"/>
      <c r="M28" s="272"/>
      <c r="N28" s="272"/>
      <c r="O28" s="272"/>
      <c r="P28" s="272"/>
      <c r="Q28" s="272"/>
      <c r="R28" s="272"/>
      <c r="S28" s="272"/>
      <c r="T28" s="272"/>
      <c r="U28" s="272"/>
      <c r="X28" s="474">
        <f>SUM(X6:X27)</f>
        <v>229612028</v>
      </c>
    </row>
    <row r="29" spans="1:25" ht="13.5" thickBot="1">
      <c r="A29" s="133">
        <f t="shared" si="4"/>
        <v>30</v>
      </c>
      <c r="B29" s="137"/>
      <c r="C29" s="139" t="s">
        <v>116</v>
      </c>
      <c r="D29" s="283"/>
      <c r="E29" s="283"/>
      <c r="F29" s="272"/>
      <c r="G29" s="288"/>
      <c r="H29" s="182"/>
      <c r="I29" s="289">
        <f>'7 - Reacquired Debt'!I32</f>
        <v>2157708.2400000002</v>
      </c>
      <c r="J29" s="230"/>
      <c r="K29" s="230"/>
      <c r="L29" s="230"/>
      <c r="M29" s="230"/>
      <c r="N29" s="230"/>
      <c r="O29" s="230"/>
      <c r="P29" s="230"/>
      <c r="Q29" s="230"/>
      <c r="R29" s="230"/>
      <c r="S29" s="230"/>
      <c r="T29" s="230"/>
      <c r="U29" s="230"/>
      <c r="X29" s="474">
        <f>I29</f>
        <v>2157708.2400000002</v>
      </c>
    </row>
    <row r="30" spans="1:25" ht="13.5" thickBot="1">
      <c r="A30" s="133">
        <f t="shared" si="4"/>
        <v>31</v>
      </c>
      <c r="B30" s="139" t="s">
        <v>129</v>
      </c>
      <c r="C30" s="282"/>
      <c r="D30" s="283"/>
      <c r="E30" s="283"/>
      <c r="F30" s="289">
        <f>SUM(F6:F29)</f>
        <v>3760860000</v>
      </c>
      <c r="G30" s="290"/>
      <c r="H30" s="215">
        <f>ROUND(+I30/F30,4)</f>
        <v>6.1600000000000002E-2</v>
      </c>
      <c r="I30" s="293">
        <f t="shared" ref="I30:U30" si="5">SUM(I6:I29)</f>
        <v>231769736.24000001</v>
      </c>
      <c r="J30" s="293">
        <f t="shared" si="5"/>
        <v>3760860000</v>
      </c>
      <c r="K30" s="293">
        <f t="shared" si="5"/>
        <v>3760860000</v>
      </c>
      <c r="L30" s="293">
        <f t="shared" si="5"/>
        <v>3760860000</v>
      </c>
      <c r="M30" s="293">
        <f t="shared" si="5"/>
        <v>3760860000</v>
      </c>
      <c r="N30" s="293">
        <f t="shared" si="5"/>
        <v>3760860000</v>
      </c>
      <c r="O30" s="293">
        <f t="shared" si="5"/>
        <v>3760860000</v>
      </c>
      <c r="P30" s="293">
        <f t="shared" si="5"/>
        <v>3760860000</v>
      </c>
      <c r="Q30" s="293">
        <f t="shared" si="5"/>
        <v>3760860000</v>
      </c>
      <c r="R30" s="293">
        <f t="shared" si="5"/>
        <v>3760860000</v>
      </c>
      <c r="S30" s="293">
        <f t="shared" si="5"/>
        <v>3760860000</v>
      </c>
      <c r="T30" s="293">
        <f t="shared" si="5"/>
        <v>3760860000</v>
      </c>
      <c r="U30" s="293">
        <f t="shared" si="5"/>
        <v>3760860000</v>
      </c>
      <c r="X30" s="293">
        <f>SUM(X28:X29)</f>
        <v>231769736.24000001</v>
      </c>
      <c r="Y30" s="475">
        <f>X30/U30</f>
        <v>6.1626791808256622E-2</v>
      </c>
    </row>
    <row r="31" spans="1:25">
      <c r="A31" s="133">
        <f t="shared" si="4"/>
        <v>32</v>
      </c>
      <c r="B31" s="137"/>
      <c r="C31" s="282"/>
      <c r="D31" s="283"/>
      <c r="E31" s="283"/>
      <c r="F31" s="291"/>
      <c r="G31" s="288"/>
      <c r="H31" s="245"/>
      <c r="I31" s="291"/>
      <c r="J31" s="497"/>
      <c r="K31" s="497"/>
      <c r="L31" s="497"/>
      <c r="M31" s="497"/>
      <c r="N31" s="497"/>
      <c r="O31" s="497"/>
      <c r="P31" s="497"/>
      <c r="Q31" s="497"/>
      <c r="R31" s="497"/>
      <c r="S31" s="497"/>
      <c r="T31" s="497"/>
      <c r="U31" s="497"/>
      <c r="X31" s="273">
        <f>H31*U31</f>
        <v>0</v>
      </c>
    </row>
    <row r="32" spans="1:25">
      <c r="A32" s="133">
        <f t="shared" si="4"/>
        <v>33</v>
      </c>
      <c r="B32" s="139"/>
      <c r="C32" s="136"/>
      <c r="D32" s="136"/>
      <c r="E32" s="136"/>
      <c r="F32" s="291"/>
      <c r="G32" s="25"/>
      <c r="H32" s="245"/>
      <c r="I32" s="291"/>
      <c r="J32" s="343"/>
      <c r="K32" s="343"/>
      <c r="L32" s="343"/>
      <c r="M32" s="343"/>
      <c r="N32" s="343"/>
      <c r="O32" s="343"/>
      <c r="P32" s="343"/>
      <c r="Q32" s="343"/>
      <c r="R32" s="343"/>
      <c r="S32" s="343"/>
      <c r="T32" s="343"/>
      <c r="U32" s="343"/>
      <c r="X32" s="272">
        <f>I32</f>
        <v>0</v>
      </c>
    </row>
    <row r="33" spans="1:55">
      <c r="A33" s="133">
        <f t="shared" si="4"/>
        <v>34</v>
      </c>
      <c r="B33" s="135" t="s">
        <v>85</v>
      </c>
      <c r="C33" s="136"/>
      <c r="D33" s="136"/>
      <c r="E33" s="136"/>
      <c r="F33" s="136"/>
      <c r="G33" s="136"/>
      <c r="H33" s="136"/>
      <c r="I33" s="136"/>
      <c r="X33" s="291"/>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1" t="str">
        <f>IF((F30-'2 - CapStructure'!Q16)&gt;1,"Total LTD ERROR",IF((F30-'2 - CapStructure'!Q16)&lt;-1,"Total LTD ERROR",""))</f>
        <v>Total LTD ERROR</v>
      </c>
      <c r="G36" s="134"/>
      <c r="H36" s="294"/>
      <c r="I36" s="295"/>
      <c r="J36" s="296"/>
      <c r="K36" s="296"/>
      <c r="L36" s="296"/>
      <c r="M36" s="296"/>
      <c r="N36" s="296"/>
      <c r="O36" s="296"/>
      <c r="P36" s="296"/>
      <c r="Q36" s="296"/>
      <c r="R36" s="296"/>
      <c r="S36" s="296"/>
      <c r="T36" s="296"/>
      <c r="U36" s="296"/>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7"/>
      <c r="C37" s="297"/>
      <c r="D37" s="297"/>
      <c r="E37" s="297"/>
      <c r="F37" s="271"/>
      <c r="G37" s="297"/>
      <c r="H37" s="136"/>
      <c r="I37" s="178"/>
      <c r="J37" s="298"/>
      <c r="K37" s="298"/>
      <c r="L37" s="298"/>
      <c r="M37" s="137"/>
      <c r="N37" s="137"/>
      <c r="O37" s="137"/>
      <c r="P37" s="137"/>
      <c r="Q37" s="137"/>
      <c r="R37" s="137"/>
      <c r="S37" s="137"/>
      <c r="T37" s="137"/>
      <c r="U37" s="137"/>
    </row>
    <row r="38" spans="1:55">
      <c r="A38" s="44"/>
      <c r="B38" s="297"/>
      <c r="C38" s="297"/>
      <c r="D38" s="297"/>
      <c r="E38" s="297"/>
      <c r="F38" s="270"/>
      <c r="G38" s="297"/>
      <c r="H38" s="134"/>
      <c r="I38" s="295"/>
      <c r="J38" s="273"/>
      <c r="K38" s="273"/>
      <c r="L38" s="273"/>
      <c r="M38" s="273"/>
      <c r="N38" s="273"/>
      <c r="O38" s="273"/>
      <c r="P38" s="273"/>
      <c r="Q38" s="273"/>
      <c r="R38" s="273"/>
      <c r="S38" s="273"/>
      <c r="T38" s="273"/>
      <c r="U38" s="273"/>
    </row>
    <row r="39" spans="1:55">
      <c r="A39" s="44"/>
      <c r="B39" s="28"/>
      <c r="C39" s="28"/>
      <c r="D39" s="28"/>
      <c r="E39" s="28"/>
      <c r="F39" s="271"/>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66" t="e">
        <f>#REF!</f>
        <v>#REF!</v>
      </c>
      <c r="C5" s="266"/>
      <c r="D5" s="266"/>
      <c r="E5" s="266"/>
      <c r="F5" s="266"/>
      <c r="H5" s="238"/>
      <c r="L5" s="241"/>
    </row>
    <row r="6" spans="1:12">
      <c r="A6" s="18"/>
      <c r="C6" s="19"/>
      <c r="H6" s="238"/>
      <c r="L6" s="241"/>
    </row>
    <row r="7" spans="1:12" ht="18">
      <c r="A7" s="18"/>
      <c r="B7" s="510" t="s">
        <v>230</v>
      </c>
      <c r="C7" s="511"/>
      <c r="D7" s="511"/>
      <c r="E7" s="511"/>
      <c r="F7" s="512"/>
      <c r="H7" s="238"/>
      <c r="L7" s="241"/>
    </row>
    <row r="8" spans="1:12" ht="15.75">
      <c r="A8" s="18"/>
      <c r="B8" s="513" t="s">
        <v>231</v>
      </c>
      <c r="C8" s="514"/>
      <c r="D8" s="514"/>
      <c r="E8" s="514"/>
      <c r="F8" s="515"/>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60" t="e">
        <f>#REF!</f>
        <v>#REF!</v>
      </c>
      <c r="E15" s="351"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16" t="e">
        <f>#REF!</f>
        <v>#REF!</v>
      </c>
      <c r="E17" s="169" t="e">
        <f>#REF!</f>
        <v>#REF!</v>
      </c>
      <c r="F17" s="181" t="e">
        <f>ROUND(D17*E17,5)</f>
        <v>#REF!</v>
      </c>
      <c r="L17" s="238"/>
    </row>
    <row r="18" spans="1:12">
      <c r="A18" s="193">
        <f t="shared" si="0"/>
        <v>10</v>
      </c>
      <c r="B18" s="111"/>
      <c r="C18" s="168"/>
      <c r="D18" s="181"/>
      <c r="E18" s="171"/>
      <c r="F18" s="359"/>
      <c r="H18" s="517"/>
      <c r="I18" s="517"/>
      <c r="J18" s="517"/>
      <c r="K18" s="517"/>
      <c r="L18" s="517"/>
    </row>
    <row r="19" spans="1:12">
      <c r="A19" s="193">
        <f t="shared" si="0"/>
        <v>11</v>
      </c>
      <c r="B19" s="110" t="s">
        <v>15</v>
      </c>
      <c r="C19" s="172" t="e">
        <f>#REF!</f>
        <v>#REF!</v>
      </c>
      <c r="D19" s="339" t="e">
        <f>#REF!</f>
        <v>#REF!</v>
      </c>
      <c r="E19" s="518" t="e">
        <f>#REF!</f>
        <v>#REF!</v>
      </c>
      <c r="F19" s="360"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232</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9" t="s">
        <v>233</v>
      </c>
      <c r="C1" s="519"/>
      <c r="D1" s="519"/>
      <c r="E1" s="519"/>
      <c r="F1" s="519"/>
      <c r="G1" s="520"/>
    </row>
    <row r="2" spans="1:8">
      <c r="A2" s="3" t="s">
        <v>2</v>
      </c>
      <c r="B2" s="4"/>
      <c r="C2" s="4"/>
      <c r="D2" s="4"/>
      <c r="E2" s="4"/>
      <c r="F2" s="4"/>
      <c r="G2" s="4"/>
      <c r="H2" s="4"/>
    </row>
    <row r="3" spans="1:8" ht="15.75">
      <c r="A3" s="34"/>
      <c r="B3" s="336" t="s">
        <v>25</v>
      </c>
      <c r="C3" s="201"/>
      <c r="D3" s="201"/>
      <c r="E3" s="201"/>
      <c r="F3" s="201"/>
    </row>
    <row r="4" spans="1:8" ht="15.75">
      <c r="A4" s="34"/>
      <c r="B4" s="336" t="s">
        <v>37</v>
      </c>
      <c r="C4" s="201"/>
      <c r="D4" s="201"/>
      <c r="E4" s="201"/>
      <c r="F4" s="201"/>
    </row>
    <row r="5" spans="1:8" ht="15.75" customHeight="1">
      <c r="B5" s="337"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172711821</v>
      </c>
      <c r="D13" s="211">
        <f>IF(E13=0,"NA",(E13/C13))</f>
        <v>3.5104949162277567E-3</v>
      </c>
      <c r="E13" s="76">
        <f>'A3  STD Int &amp; Fees-Prior Fac'!D11</f>
        <v>606303.96959293832</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29" t="s">
        <v>157</v>
      </c>
      <c r="C17" s="331" t="e">
        <f>SUM(C13:C16)</f>
        <v>#REF!</v>
      </c>
      <c r="D17" s="332" t="e">
        <f>IF(E17=0,"NA",(E17/C17))</f>
        <v>#REF!</v>
      </c>
      <c r="E17" s="330" t="e">
        <f>SUM(E13:E16)</f>
        <v>#REF!</v>
      </c>
      <c r="F17" s="74"/>
      <c r="G17" s="75"/>
    </row>
    <row r="18" spans="1:7">
      <c r="A18" s="3">
        <f t="shared" si="0"/>
        <v>11</v>
      </c>
      <c r="B18" s="67"/>
      <c r="C18" s="86"/>
      <c r="D18" s="212"/>
      <c r="E18" s="77"/>
      <c r="F18" s="67"/>
      <c r="G18" s="75"/>
    </row>
    <row r="19" spans="1:7">
      <c r="A19" s="3">
        <f t="shared" si="0"/>
        <v>12</v>
      </c>
      <c r="B19" s="71" t="s">
        <v>54</v>
      </c>
      <c r="C19" s="87"/>
      <c r="D19" s="88"/>
      <c r="E19" s="350"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50">
        <f>-'A4  STD Amort-Prior Fac'!E25</f>
        <v>293659.07999999996</v>
      </c>
      <c r="F21" s="191"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174</v>
      </c>
      <c r="C26" s="521"/>
      <c r="D26" s="521"/>
      <c r="E26" s="521"/>
      <c r="F26" s="71"/>
      <c r="G26" s="10"/>
    </row>
    <row r="27" spans="1:7">
      <c r="A27" s="3">
        <f t="shared" si="0"/>
        <v>20</v>
      </c>
      <c r="B27" s="131" t="s">
        <v>234</v>
      </c>
      <c r="C27" s="521"/>
      <c r="D27" s="521"/>
      <c r="E27" s="521"/>
      <c r="F27" s="71"/>
      <c r="G27" s="10"/>
    </row>
    <row r="28" spans="1:7">
      <c r="A28" s="3">
        <f t="shared" si="0"/>
        <v>21</v>
      </c>
      <c r="B28" s="131" t="s">
        <v>235</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22" t="s">
        <v>233</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 t="shared" ref="A6:A40" si="0">+A5+1</f>
        <v>2</v>
      </c>
      <c r="B6" s="353" t="s">
        <v>121</v>
      </c>
      <c r="C6" s="354"/>
      <c r="D6" s="354"/>
      <c r="E6" s="354"/>
      <c r="F6" s="354"/>
      <c r="G6" s="354"/>
      <c r="H6" s="150"/>
      <c r="I6" s="150"/>
      <c r="J6" s="150"/>
      <c r="K6" s="355"/>
      <c r="M6" s="35"/>
      <c r="N6" s="35"/>
      <c r="O6" s="35"/>
    </row>
    <row r="7" spans="1:15" ht="12">
      <c r="A7" s="192">
        <f t="shared" si="0"/>
        <v>3</v>
      </c>
      <c r="B7" s="523"/>
      <c r="C7" s="206"/>
      <c r="D7" s="206"/>
      <c r="E7" s="206"/>
      <c r="F7" s="206"/>
      <c r="G7" s="206"/>
      <c r="H7" s="89"/>
      <c r="I7" s="89"/>
      <c r="J7" s="89"/>
      <c r="K7" s="152"/>
      <c r="M7" s="35"/>
      <c r="N7" s="35"/>
      <c r="O7" s="35"/>
    </row>
    <row r="8" spans="1:15" ht="12">
      <c r="A8" s="192">
        <f t="shared" si="0"/>
        <v>4</v>
      </c>
      <c r="B8" s="205"/>
      <c r="C8" s="206"/>
      <c r="D8" s="386" t="s">
        <v>236</v>
      </c>
      <c r="E8" s="213" t="s">
        <v>237</v>
      </c>
      <c r="F8" s="213" t="s">
        <v>238</v>
      </c>
      <c r="G8" s="387" t="s">
        <v>236</v>
      </c>
      <c r="H8" s="38"/>
      <c r="I8" s="38"/>
      <c r="J8" s="38"/>
      <c r="K8" s="356" t="s">
        <v>2</v>
      </c>
      <c r="L8" s="35"/>
      <c r="M8" s="274"/>
      <c r="N8" s="35"/>
      <c r="O8" s="35"/>
    </row>
    <row r="9" spans="1:15" ht="12">
      <c r="A9" s="192">
        <f t="shared" si="0"/>
        <v>5</v>
      </c>
      <c r="B9" s="205"/>
      <c r="C9" s="213" t="s">
        <v>50</v>
      </c>
      <c r="D9" s="213" t="s">
        <v>114</v>
      </c>
      <c r="E9" s="213" t="s">
        <v>50</v>
      </c>
      <c r="F9" s="213" t="s">
        <v>239</v>
      </c>
      <c r="G9" s="213" t="s">
        <v>50</v>
      </c>
      <c r="H9" s="213" t="s">
        <v>131</v>
      </c>
      <c r="I9" s="38"/>
      <c r="J9" s="38"/>
      <c r="K9" s="356"/>
      <c r="L9" s="204"/>
      <c r="M9" s="35"/>
      <c r="N9" s="35"/>
      <c r="O9" s="35"/>
    </row>
    <row r="10" spans="1:15" ht="12">
      <c r="A10" s="192">
        <f t="shared" si="0"/>
        <v>6</v>
      </c>
      <c r="B10" s="205"/>
      <c r="C10" s="214" t="s">
        <v>151</v>
      </c>
      <c r="D10" s="214" t="s">
        <v>38</v>
      </c>
      <c r="E10" s="214" t="s">
        <v>99</v>
      </c>
      <c r="F10" s="214" t="s">
        <v>248</v>
      </c>
      <c r="G10" s="214" t="s">
        <v>99</v>
      </c>
      <c r="H10" s="214" t="s">
        <v>152</v>
      </c>
      <c r="I10" s="40"/>
      <c r="J10" s="38"/>
      <c r="K10" s="356"/>
      <c r="L10" s="204"/>
      <c r="M10" s="239"/>
      <c r="N10" s="35"/>
      <c r="O10" s="35"/>
    </row>
    <row r="11" spans="1:15" ht="12">
      <c r="A11" s="192">
        <f t="shared" si="0"/>
        <v>7</v>
      </c>
      <c r="B11" s="205" t="s">
        <v>36</v>
      </c>
      <c r="C11" s="260">
        <f>'4 - STD OS &amp; Comm Fees'!C11</f>
        <v>172711821</v>
      </c>
      <c r="D11" s="260">
        <f>G11*C11</f>
        <v>606303.96959293832</v>
      </c>
      <c r="E11" s="268">
        <f>'4 - STD OS &amp; Comm Fees'!E11</f>
        <v>3.5104949162277567E-3</v>
      </c>
      <c r="F11" s="268">
        <v>0</v>
      </c>
      <c r="G11" s="268">
        <f>SUM(E11:F11)</f>
        <v>3.5104949162277567E-3</v>
      </c>
      <c r="H11" s="524">
        <v>0</v>
      </c>
      <c r="I11" s="347"/>
      <c r="J11" s="38"/>
      <c r="K11" s="356"/>
      <c r="L11" s="35"/>
      <c r="M11" s="203"/>
      <c r="N11" s="35"/>
      <c r="O11" s="35"/>
    </row>
    <row r="12" spans="1:15" ht="12">
      <c r="A12" s="192">
        <f t="shared" si="0"/>
        <v>8</v>
      </c>
      <c r="B12" s="205" t="s">
        <v>115</v>
      </c>
      <c r="C12" s="260">
        <f>'4 - STD OS &amp; Comm Fees'!C12</f>
        <v>0</v>
      </c>
      <c r="D12" s="260" t="e">
        <f>G12*C12</f>
        <v>#REF!</v>
      </c>
      <c r="E12" s="268" t="str">
        <f>'4 - STD OS &amp; Comm Fees'!E12</f>
        <v>NA</v>
      </c>
      <c r="F12" s="268">
        <v>0</v>
      </c>
      <c r="G12" s="268" t="e">
        <f>(D11+D13+D14)/(C11+C13+C14)</f>
        <v>#REF!</v>
      </c>
      <c r="H12" s="524">
        <v>0</v>
      </c>
      <c r="I12" s="347"/>
      <c r="J12" s="38"/>
      <c r="K12" s="356"/>
      <c r="L12" s="35"/>
      <c r="M12" s="203"/>
      <c r="N12" s="35"/>
      <c r="O12" s="35"/>
    </row>
    <row r="13" spans="1:15" ht="12">
      <c r="A13" s="192">
        <f t="shared" si="0"/>
        <v>9</v>
      </c>
      <c r="B13" s="205" t="s">
        <v>240</v>
      </c>
      <c r="C13" s="260" t="e">
        <f>'4 - STD OS &amp; Comm Fees'!#REF!</f>
        <v>#REF!</v>
      </c>
      <c r="D13" s="260" t="e">
        <f>G13*C13</f>
        <v>#REF!</v>
      </c>
      <c r="E13" s="268" t="e">
        <f>'4 - STD OS &amp; Comm Fees'!#REF!</f>
        <v>#REF!</v>
      </c>
      <c r="F13" s="268">
        <f>$C$38</f>
        <v>-3.2500000000000003E-3</v>
      </c>
      <c r="G13" s="268" t="e">
        <f>SUM(E13:F13)</f>
        <v>#REF!</v>
      </c>
      <c r="H13" s="210" t="e">
        <f>J23</f>
        <v>#REF!</v>
      </c>
      <c r="I13" s="347"/>
      <c r="J13" s="38"/>
      <c r="K13" s="356"/>
      <c r="L13" s="35"/>
      <c r="M13" s="203"/>
      <c r="N13" s="35"/>
      <c r="O13" s="35"/>
    </row>
    <row r="14" spans="1:15" ht="12">
      <c r="A14" s="192">
        <f t="shared" si="0"/>
        <v>10</v>
      </c>
      <c r="B14" s="205" t="s">
        <v>240</v>
      </c>
      <c r="C14" s="260" t="e">
        <f>'4 - STD OS &amp; Comm Fees'!#REF!</f>
        <v>#REF!</v>
      </c>
      <c r="D14" s="260" t="e">
        <f>G14*C14</f>
        <v>#REF!</v>
      </c>
      <c r="E14" s="268" t="e">
        <f>'4 - STD OS &amp; Comm Fees'!#REF!</f>
        <v>#REF!</v>
      </c>
      <c r="F14" s="268">
        <f>$C$38</f>
        <v>-3.2500000000000003E-3</v>
      </c>
      <c r="G14" s="268" t="e">
        <f>SUM(E14:F14)</f>
        <v>#REF!</v>
      </c>
      <c r="H14" s="210">
        <f>J24</f>
        <v>253472.22222200001</v>
      </c>
      <c r="I14" s="347"/>
      <c r="J14" s="38"/>
      <c r="K14" s="356"/>
      <c r="L14" s="35"/>
      <c r="M14" s="203"/>
      <c r="N14" s="35"/>
      <c r="O14" s="35"/>
    </row>
    <row r="15" spans="1:15" ht="12">
      <c r="A15" s="192">
        <f t="shared" si="0"/>
        <v>11</v>
      </c>
      <c r="B15" s="205" t="s">
        <v>159</v>
      </c>
      <c r="C15" s="260"/>
      <c r="D15" s="260"/>
      <c r="E15" s="268"/>
      <c r="F15" s="268"/>
      <c r="G15" s="268"/>
      <c r="H15" s="210">
        <f>J30</f>
        <v>16904.378833333332</v>
      </c>
      <c r="I15" s="347"/>
      <c r="J15" s="38"/>
      <c r="K15" s="356"/>
      <c r="L15" s="35"/>
      <c r="M15" s="203"/>
      <c r="N15" s="35"/>
      <c r="O15" s="35"/>
    </row>
    <row r="16" spans="1:15" ht="12">
      <c r="A16" s="192">
        <f t="shared" si="0"/>
        <v>12</v>
      </c>
      <c r="B16" s="334" t="s">
        <v>163</v>
      </c>
      <c r="C16" s="525" t="e">
        <f>SUM(C11:C15)</f>
        <v>#REF!</v>
      </c>
      <c r="D16" s="527" t="e">
        <f>SUM(D11:D15)</f>
        <v>#REF!</v>
      </c>
      <c r="E16" s="526">
        <f>'[8]Pg 4 STD OS &amp; Comm Fees'!E16</f>
        <v>1.1564749125603244E-2</v>
      </c>
      <c r="F16" s="268"/>
      <c r="G16" s="526" t="e">
        <f>D16/C16</f>
        <v>#REF!</v>
      </c>
      <c r="H16" s="527" t="e">
        <f>SUM(H11:H15)</f>
        <v>#REF!</v>
      </c>
      <c r="I16" s="38"/>
      <c r="J16" s="38"/>
      <c r="K16" s="356"/>
      <c r="L16" s="35"/>
      <c r="M16" s="35"/>
      <c r="N16" s="35"/>
      <c r="O16" s="35"/>
    </row>
    <row r="17" spans="1:15" ht="12">
      <c r="A17" s="192">
        <f t="shared" si="0"/>
        <v>13</v>
      </c>
      <c r="B17" s="205"/>
      <c r="C17" s="207"/>
      <c r="D17" s="208"/>
      <c r="E17" s="206"/>
      <c r="F17" s="207"/>
      <c r="G17" s="38"/>
      <c r="H17" s="38"/>
      <c r="I17" s="38"/>
      <c r="J17" s="38"/>
      <c r="K17" s="356"/>
      <c r="L17" s="35"/>
      <c r="M17" s="35"/>
      <c r="N17" s="35"/>
      <c r="O17" s="35"/>
    </row>
    <row r="18" spans="1:15" ht="12.75" thickBot="1">
      <c r="A18" s="192">
        <f t="shared" si="0"/>
        <v>14</v>
      </c>
      <c r="B18" s="349"/>
      <c r="C18" s="209"/>
      <c r="D18" s="209"/>
      <c r="E18" s="209"/>
      <c r="F18" s="209"/>
      <c r="G18" s="357"/>
      <c r="H18" s="357"/>
      <c r="I18" s="357"/>
      <c r="J18" s="357"/>
      <c r="K18" s="358"/>
      <c r="L18" s="38"/>
      <c r="M18" s="35"/>
      <c r="N18" s="35"/>
      <c r="O18" s="35"/>
    </row>
    <row r="19" spans="1:15" ht="12">
      <c r="A19" s="192">
        <f t="shared" si="0"/>
        <v>15</v>
      </c>
      <c r="B19" s="681" t="s">
        <v>97</v>
      </c>
      <c r="C19" s="682"/>
      <c r="D19" s="150"/>
      <c r="E19" s="150"/>
      <c r="F19" s="150"/>
      <c r="G19" s="150"/>
      <c r="H19" s="184"/>
      <c r="I19" s="184"/>
      <c r="J19" s="184"/>
      <c r="K19" s="147"/>
      <c r="L19" s="38" t="s">
        <v>2</v>
      </c>
      <c r="M19" s="35"/>
      <c r="N19" s="35"/>
      <c r="O19" s="35"/>
    </row>
    <row r="20" spans="1:15" ht="12">
      <c r="A20" s="192">
        <f t="shared" si="0"/>
        <v>16</v>
      </c>
      <c r="B20" s="679" t="s">
        <v>106</v>
      </c>
      <c r="C20" s="680"/>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2">
      <c r="A22" s="192">
        <f t="shared" si="0"/>
        <v>18</v>
      </c>
      <c r="B22" s="528" t="s">
        <v>241</v>
      </c>
      <c r="C22" s="39" t="s">
        <v>48</v>
      </c>
      <c r="D22" s="39" t="s">
        <v>49</v>
      </c>
      <c r="E22" s="40" t="s">
        <v>51</v>
      </c>
      <c r="F22" s="40" t="s">
        <v>131</v>
      </c>
      <c r="G22" s="40" t="s">
        <v>153</v>
      </c>
      <c r="H22" s="40" t="s">
        <v>131</v>
      </c>
      <c r="I22" s="40" t="s">
        <v>60</v>
      </c>
      <c r="J22" s="40" t="s">
        <v>61</v>
      </c>
      <c r="K22" s="186"/>
      <c r="L22" s="38"/>
      <c r="M22" s="35"/>
      <c r="N22" s="35"/>
      <c r="O22" s="35"/>
    </row>
    <row r="23" spans="1:15" ht="12">
      <c r="A23" s="192">
        <f t="shared" si="0"/>
        <v>19</v>
      </c>
      <c r="B23" s="205" t="s">
        <v>242</v>
      </c>
      <c r="C23" s="529">
        <v>40178</v>
      </c>
      <c r="D23" s="529">
        <v>40543</v>
      </c>
      <c r="E23" s="348">
        <f>D23-C23</f>
        <v>365</v>
      </c>
      <c r="F23" s="530">
        <v>500000000</v>
      </c>
      <c r="G23" s="260" t="e">
        <f>(C13+C14)/2</f>
        <v>#REF!</v>
      </c>
      <c r="H23" s="260" t="e">
        <f>F23-G23</f>
        <v>#REF!</v>
      </c>
      <c r="I23" s="268">
        <v>1.25E-3</v>
      </c>
      <c r="J23" s="210" t="e">
        <f>ROUND(H23*I23*E23/360,6)</f>
        <v>#REF!</v>
      </c>
      <c r="K23" s="152"/>
      <c r="L23" s="38"/>
      <c r="M23" s="35"/>
      <c r="N23" s="35"/>
      <c r="O23" s="35"/>
    </row>
    <row r="24" spans="1:15" ht="12">
      <c r="A24" s="192">
        <f t="shared" si="0"/>
        <v>20</v>
      </c>
      <c r="B24" s="205" t="s">
        <v>243</v>
      </c>
      <c r="C24" s="529">
        <v>40178</v>
      </c>
      <c r="D24" s="529">
        <v>40543</v>
      </c>
      <c r="E24" s="348">
        <f>D24-C24</f>
        <v>365</v>
      </c>
      <c r="F24" s="530">
        <v>200000000</v>
      </c>
      <c r="G24" s="260" t="e">
        <f>(C13+C14)/2</f>
        <v>#REF!</v>
      </c>
      <c r="H24" s="561" t="s">
        <v>255</v>
      </c>
      <c r="I24" s="268">
        <v>1.25E-3</v>
      </c>
      <c r="J24" s="210">
        <f>ROUND(F24*I24*E24/360,6)</f>
        <v>253472.22222200001</v>
      </c>
      <c r="K24" s="152"/>
      <c r="L24" s="38"/>
      <c r="M24" s="35"/>
      <c r="N24" s="35"/>
      <c r="O24" s="35"/>
    </row>
    <row r="25" spans="1:15" ht="12">
      <c r="A25" s="192">
        <f t="shared" si="0"/>
        <v>21</v>
      </c>
      <c r="B25" s="264" t="s">
        <v>130</v>
      </c>
      <c r="C25" s="41"/>
      <c r="D25" s="276"/>
      <c r="E25" s="348"/>
      <c r="F25" s="531"/>
      <c r="I25" s="276"/>
      <c r="J25" s="532" t="e">
        <f>SUM(J23:J24)</f>
        <v>#REF!</v>
      </c>
      <c r="K25" s="187"/>
      <c r="L25" s="38"/>
      <c r="M25" s="35"/>
      <c r="N25" s="35"/>
      <c r="O25" s="35"/>
    </row>
    <row r="26" spans="1:15" ht="12">
      <c r="A26" s="192">
        <f t="shared" si="0"/>
        <v>22</v>
      </c>
      <c r="B26" s="243"/>
      <c r="C26" s="41"/>
      <c r="D26" s="276"/>
      <c r="E26" s="533"/>
      <c r="F26" s="40"/>
      <c r="G26" s="276"/>
      <c r="H26" s="534"/>
      <c r="I26" s="534"/>
      <c r="J26" s="534"/>
      <c r="K26" s="187"/>
      <c r="L26" s="38"/>
      <c r="M26" s="35"/>
      <c r="N26" s="35"/>
      <c r="O26" s="35"/>
    </row>
    <row r="27" spans="1:15" ht="12">
      <c r="A27" s="192">
        <f t="shared" si="0"/>
        <v>23</v>
      </c>
      <c r="B27" s="263" t="s">
        <v>132</v>
      </c>
      <c r="C27" s="280"/>
      <c r="F27" s="40" t="s">
        <v>175</v>
      </c>
      <c r="G27" s="40" t="s">
        <v>51</v>
      </c>
      <c r="H27" s="40" t="s">
        <v>160</v>
      </c>
      <c r="I27" s="276"/>
      <c r="J27" s="279"/>
      <c r="K27" s="187"/>
      <c r="L27" s="38"/>
      <c r="M27" s="35"/>
      <c r="N27" s="35"/>
      <c r="O27" s="35"/>
    </row>
    <row r="28" spans="1:15" ht="12">
      <c r="A28" s="192">
        <f t="shared" si="0"/>
        <v>24</v>
      </c>
      <c r="B28" s="264" t="s">
        <v>161</v>
      </c>
      <c r="C28" s="281"/>
      <c r="F28" s="405" t="s">
        <v>178</v>
      </c>
      <c r="G28" s="348">
        <v>365</v>
      </c>
      <c r="H28" s="260">
        <f>'4 - STD OS &amp; Comm Fees'!H31</f>
        <v>2565048</v>
      </c>
      <c r="I28" s="535">
        <v>6.4999999999999997E-3</v>
      </c>
      <c r="J28" s="260">
        <f>(I28*H28)*(G28/360)</f>
        <v>16904.378833333332</v>
      </c>
      <c r="K28" s="187"/>
      <c r="L28" s="38"/>
      <c r="M28" s="35"/>
      <c r="N28" s="35"/>
      <c r="O28" s="35"/>
    </row>
    <row r="29" spans="1:15" ht="12.75" customHeight="1">
      <c r="A29" s="192">
        <f t="shared" si="0"/>
        <v>25</v>
      </c>
      <c r="B29" s="264" t="s">
        <v>176</v>
      </c>
      <c r="C29" s="281"/>
      <c r="F29" s="405" t="s">
        <v>177</v>
      </c>
      <c r="G29" s="348">
        <v>365</v>
      </c>
      <c r="H29" s="260">
        <f>'4 - STD OS &amp; Comm Fees'!H32</f>
        <v>0</v>
      </c>
      <c r="I29" s="535">
        <v>6.4999999999999997E-3</v>
      </c>
      <c r="J29" s="260">
        <f>(I29*H29)*(G29/360)</f>
        <v>0</v>
      </c>
      <c r="K29" s="152"/>
      <c r="L29" s="38"/>
      <c r="M29" s="35"/>
      <c r="N29" s="35"/>
      <c r="O29" s="35"/>
    </row>
    <row r="30" spans="1:15" ht="12.75" customHeight="1" thickBot="1">
      <c r="A30" s="192">
        <f t="shared" si="0"/>
        <v>26</v>
      </c>
      <c r="B30" s="333" t="s">
        <v>162</v>
      </c>
      <c r="C30" s="281"/>
      <c r="D30" s="281"/>
      <c r="E30" s="369"/>
      <c r="F30" s="370"/>
      <c r="G30" s="348"/>
      <c r="H30" s="42"/>
      <c r="I30" s="42"/>
      <c r="J30" s="371">
        <f>SUM(J28:J29)</f>
        <v>16904.378833333332</v>
      </c>
      <c r="K30" s="152"/>
      <c r="L30" s="38"/>
      <c r="M30" s="35"/>
      <c r="N30" s="35"/>
      <c r="O30" s="35"/>
    </row>
    <row r="31" spans="1:15" ht="12.75" customHeight="1" thickTop="1">
      <c r="A31" s="192">
        <f t="shared" si="0"/>
        <v>27</v>
      </c>
      <c r="B31" s="264"/>
      <c r="C31" s="160"/>
      <c r="D31" s="160"/>
      <c r="E31" s="160"/>
      <c r="F31" s="325"/>
      <c r="G31" s="326"/>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75" thickBot="1">
      <c r="A33" s="192">
        <f t="shared" si="0"/>
        <v>29</v>
      </c>
      <c r="B33" s="126" t="s">
        <v>83</v>
      </c>
      <c r="C33" s="189"/>
      <c r="D33" s="189"/>
      <c r="E33" s="153"/>
      <c r="F33" s="153"/>
      <c r="G33" s="153"/>
      <c r="H33" s="190"/>
      <c r="I33" s="190"/>
      <c r="J33" s="190"/>
      <c r="K33" s="188"/>
    </row>
    <row r="34" spans="1:11" ht="12">
      <c r="A34" s="192">
        <f t="shared" si="0"/>
        <v>30</v>
      </c>
      <c r="B34" s="536" t="s">
        <v>244</v>
      </c>
      <c r="C34" s="150"/>
      <c r="D34" s="150"/>
      <c r="E34" s="150"/>
      <c r="F34" s="150"/>
      <c r="G34" s="150"/>
      <c r="H34" s="150"/>
      <c r="I34" s="150"/>
      <c r="J34" s="150"/>
      <c r="K34" s="355"/>
    </row>
    <row r="35" spans="1:11" ht="12">
      <c r="A35" s="192">
        <f t="shared" si="0"/>
        <v>31</v>
      </c>
      <c r="B35" s="537"/>
      <c r="C35" s="89"/>
      <c r="D35" s="89"/>
      <c r="E35" s="89"/>
      <c r="F35" s="89"/>
      <c r="G35" s="89"/>
      <c r="H35" s="89"/>
      <c r="I35" s="89"/>
      <c r="J35" s="89"/>
      <c r="K35" s="152"/>
    </row>
    <row r="36" spans="1:11" ht="12">
      <c r="A36" s="192">
        <f t="shared" si="0"/>
        <v>32</v>
      </c>
      <c r="B36" s="537" t="s">
        <v>245</v>
      </c>
      <c r="C36" s="538">
        <v>5.2500000000000003E-3</v>
      </c>
      <c r="D36" s="89"/>
      <c r="E36" s="89"/>
      <c r="F36" s="89"/>
      <c r="G36" s="89"/>
      <c r="H36" s="89"/>
      <c r="I36" s="89"/>
      <c r="J36" s="89"/>
      <c r="K36" s="152"/>
    </row>
    <row r="37" spans="1:11" ht="12">
      <c r="A37" s="192">
        <f t="shared" si="0"/>
        <v>33</v>
      </c>
      <c r="B37" s="537" t="s">
        <v>246</v>
      </c>
      <c r="C37" s="538">
        <v>8.5000000000000006E-3</v>
      </c>
      <c r="D37" s="89"/>
      <c r="E37" s="89"/>
      <c r="F37" s="89"/>
      <c r="G37" s="89"/>
      <c r="H37" s="89"/>
      <c r="I37" s="89"/>
      <c r="J37" s="89"/>
      <c r="K37" s="152"/>
    </row>
    <row r="38" spans="1:11" ht="12">
      <c r="A38" s="192">
        <f t="shared" si="0"/>
        <v>34</v>
      </c>
      <c r="B38" s="539" t="s">
        <v>247</v>
      </c>
      <c r="C38" s="540">
        <f>C36-C37</f>
        <v>-3.2500000000000003E-3</v>
      </c>
      <c r="D38" s="38" t="s">
        <v>249</v>
      </c>
      <c r="E38" s="89"/>
      <c r="F38" s="89"/>
      <c r="G38" s="89"/>
      <c r="H38" s="89"/>
      <c r="I38" s="89"/>
      <c r="J38" s="89"/>
      <c r="K38" s="152"/>
    </row>
    <row r="39" spans="1:11">
      <c r="A39" s="192">
        <f t="shared" si="0"/>
        <v>35</v>
      </c>
      <c r="B39" s="151"/>
      <c r="C39" s="89"/>
      <c r="D39" s="89"/>
      <c r="E39" s="89"/>
      <c r="F39" s="89"/>
      <c r="G39" s="89"/>
      <c r="H39" s="89"/>
      <c r="I39" s="89"/>
      <c r="J39" s="89"/>
      <c r="K39" s="152"/>
    </row>
    <row r="40" spans="1:11" ht="12" thickBot="1">
      <c r="A40" s="192">
        <f t="shared" si="0"/>
        <v>36</v>
      </c>
      <c r="B40" s="541"/>
      <c r="C40" s="153"/>
      <c r="D40" s="153"/>
      <c r="E40" s="153"/>
      <c r="F40" s="153"/>
      <c r="G40" s="153"/>
      <c r="H40" s="153"/>
      <c r="I40" s="153"/>
      <c r="J40" s="153"/>
      <c r="K40" s="188"/>
    </row>
    <row r="41" spans="1:11">
      <c r="A41" s="192"/>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5" customWidth="1"/>
  </cols>
  <sheetData>
    <row r="1" spans="1:8" ht="20.25">
      <c r="B1" s="36" t="s">
        <v>46</v>
      </c>
      <c r="C1" s="522" t="s">
        <v>233</v>
      </c>
    </row>
    <row r="2" spans="1:8" ht="16.5" customHeight="1">
      <c r="A2" s="89"/>
      <c r="B2" s="127" t="s">
        <v>105</v>
      </c>
    </row>
    <row r="3" spans="1:8" ht="15" customHeight="1">
      <c r="A3" s="89"/>
      <c r="B3" s="322" t="e">
        <f>#REF!</f>
        <v>#REF!</v>
      </c>
    </row>
    <row r="4" spans="1:8">
      <c r="A4" s="542"/>
      <c r="B4" s="543"/>
    </row>
    <row r="5" spans="1:8">
      <c r="A5" s="128" t="s">
        <v>5</v>
      </c>
      <c r="B5" s="128" t="s">
        <v>27</v>
      </c>
      <c r="C5" s="128" t="s">
        <v>52</v>
      </c>
      <c r="D5" s="128" t="s">
        <v>64</v>
      </c>
      <c r="E5" s="128" t="s">
        <v>65</v>
      </c>
    </row>
    <row r="6" spans="1:8" ht="11.25" customHeight="1">
      <c r="B6" s="544"/>
      <c r="C6" s="544"/>
      <c r="D6" s="544"/>
      <c r="E6" s="544"/>
    </row>
    <row r="7" spans="1:8" ht="11.25" customHeight="1">
      <c r="A7" s="192"/>
      <c r="B7" s="162"/>
      <c r="C7" s="545" t="s">
        <v>250</v>
      </c>
      <c r="D7" s="545" t="s">
        <v>250</v>
      </c>
    </row>
    <row r="8" spans="1:8" ht="11.25" customHeight="1">
      <c r="A8" s="192">
        <v>1</v>
      </c>
      <c r="B8" s="162" t="s">
        <v>9</v>
      </c>
      <c r="C8" s="546" t="s">
        <v>251</v>
      </c>
      <c r="D8" s="547" t="s">
        <v>252</v>
      </c>
    </row>
    <row r="9" spans="1:8" ht="11.25" customHeight="1">
      <c r="A9" s="192">
        <f t="shared" ref="A9:A25" si="0">A8+1</f>
        <v>2</v>
      </c>
      <c r="B9" s="162"/>
      <c r="C9" s="546" t="s">
        <v>253</v>
      </c>
      <c r="D9" s="547" t="s">
        <v>254</v>
      </c>
      <c r="E9" s="548" t="s">
        <v>166</v>
      </c>
    </row>
    <row r="10" spans="1:8" ht="11.25" customHeight="1">
      <c r="A10" s="192">
        <f t="shared" si="0"/>
        <v>3</v>
      </c>
      <c r="B10" s="549" t="s">
        <v>148</v>
      </c>
      <c r="C10" s="550">
        <v>18100400</v>
      </c>
      <c r="D10" s="550">
        <v>18100583</v>
      </c>
      <c r="E10" s="550" t="s">
        <v>167</v>
      </c>
    </row>
    <row r="11" spans="1:8" ht="11.25" customHeight="1">
      <c r="A11" s="192">
        <f t="shared" si="0"/>
        <v>4</v>
      </c>
      <c r="B11" s="549"/>
      <c r="C11" s="551"/>
      <c r="D11" s="160"/>
    </row>
    <row r="12" spans="1:8">
      <c r="A12" s="192">
        <f t="shared" si="0"/>
        <v>5</v>
      </c>
      <c r="B12" s="552">
        <v>40209</v>
      </c>
      <c r="C12" s="298">
        <v>-5627.69</v>
      </c>
      <c r="D12" s="298">
        <v>-18843.900000000001</v>
      </c>
      <c r="E12" s="553"/>
    </row>
    <row r="13" spans="1:8">
      <c r="A13" s="192">
        <f t="shared" si="0"/>
        <v>6</v>
      </c>
      <c r="B13" s="552">
        <v>40237</v>
      </c>
      <c r="C13" s="298">
        <v>-5627.69</v>
      </c>
      <c r="D13" s="298">
        <v>-18843.900000000001</v>
      </c>
      <c r="E13" s="553"/>
    </row>
    <row r="14" spans="1:8">
      <c r="A14" s="192">
        <f t="shared" si="0"/>
        <v>7</v>
      </c>
      <c r="B14" s="552">
        <v>40268</v>
      </c>
      <c r="C14" s="298">
        <v>-5627.69</v>
      </c>
      <c r="D14" s="298">
        <v>-18843.900000000001</v>
      </c>
      <c r="E14" s="553"/>
    </row>
    <row r="15" spans="1:8">
      <c r="A15" s="192">
        <f t="shared" si="0"/>
        <v>8</v>
      </c>
      <c r="B15" s="552">
        <v>40298</v>
      </c>
      <c r="C15" s="298">
        <v>-5627.69</v>
      </c>
      <c r="D15" s="298">
        <v>-18843.900000000001</v>
      </c>
      <c r="E15" s="553"/>
    </row>
    <row r="16" spans="1:8">
      <c r="A16" s="192">
        <f t="shared" si="0"/>
        <v>9</v>
      </c>
      <c r="B16" s="552">
        <v>40329</v>
      </c>
      <c r="C16" s="298">
        <v>-5627.69</v>
      </c>
      <c r="D16" s="298">
        <v>-18843.900000000001</v>
      </c>
      <c r="E16" s="553"/>
      <c r="H16" s="335"/>
    </row>
    <row r="17" spans="1:5">
      <c r="A17" s="192">
        <f t="shared" si="0"/>
        <v>10</v>
      </c>
      <c r="B17" s="552">
        <v>40359</v>
      </c>
      <c r="C17" s="298">
        <v>-5627.69</v>
      </c>
      <c r="D17" s="298">
        <v>-18843.900000000001</v>
      </c>
      <c r="E17" s="553"/>
    </row>
    <row r="18" spans="1:5">
      <c r="A18" s="192">
        <f t="shared" si="0"/>
        <v>11</v>
      </c>
      <c r="B18" s="552">
        <v>40390</v>
      </c>
      <c r="C18" s="298">
        <v>-5627.69</v>
      </c>
      <c r="D18" s="298">
        <v>-18843.900000000001</v>
      </c>
      <c r="E18" s="553"/>
    </row>
    <row r="19" spans="1:5">
      <c r="A19" s="192">
        <f t="shared" si="0"/>
        <v>12</v>
      </c>
      <c r="B19" s="552">
        <v>40421</v>
      </c>
      <c r="C19" s="298">
        <v>-5627.69</v>
      </c>
      <c r="D19" s="298">
        <v>-18843.900000000001</v>
      </c>
      <c r="E19" s="553"/>
    </row>
    <row r="20" spans="1:5">
      <c r="A20" s="192">
        <f t="shared" si="0"/>
        <v>13</v>
      </c>
      <c r="B20" s="552">
        <v>40451</v>
      </c>
      <c r="C20" s="298">
        <v>-5627.69</v>
      </c>
      <c r="D20" s="298">
        <v>-18843.900000000001</v>
      </c>
      <c r="E20" s="553"/>
    </row>
    <row r="21" spans="1:5">
      <c r="A21" s="192">
        <f t="shared" si="0"/>
        <v>14</v>
      </c>
      <c r="B21" s="552">
        <v>40482</v>
      </c>
      <c r="C21" s="298">
        <v>-5627.69</v>
      </c>
      <c r="D21" s="298">
        <v>-18843.900000000001</v>
      </c>
      <c r="E21" s="553"/>
    </row>
    <row r="22" spans="1:5">
      <c r="A22" s="192">
        <f t="shared" si="0"/>
        <v>15</v>
      </c>
      <c r="B22" s="552">
        <v>40512</v>
      </c>
      <c r="C22" s="298">
        <v>-5627.69</v>
      </c>
      <c r="D22" s="298">
        <v>-18843.900000000001</v>
      </c>
      <c r="E22" s="553"/>
    </row>
    <row r="23" spans="1:5">
      <c r="A23" s="192">
        <f t="shared" si="0"/>
        <v>16</v>
      </c>
      <c r="B23" s="552">
        <v>40543</v>
      </c>
      <c r="C23" s="298">
        <v>-5627.69</v>
      </c>
      <c r="D23" s="298">
        <v>-18843.900000000001</v>
      </c>
      <c r="E23" s="553"/>
    </row>
    <row r="24" spans="1:5" ht="12" thickBot="1">
      <c r="A24" s="192">
        <f t="shared" si="0"/>
        <v>17</v>
      </c>
      <c r="B24" s="552"/>
      <c r="C24" s="554"/>
      <c r="D24" s="554"/>
      <c r="E24" s="555"/>
    </row>
    <row r="25" spans="1:5" ht="12" thickBot="1">
      <c r="A25" s="192">
        <f t="shared" si="0"/>
        <v>18</v>
      </c>
      <c r="B25" s="556" t="s">
        <v>172</v>
      </c>
      <c r="C25" s="557">
        <f>SUM(C12:C24)</f>
        <v>-67532.280000000013</v>
      </c>
      <c r="D25" s="557">
        <f>SUM(D12:D24)</f>
        <v>-226126.79999999996</v>
      </c>
      <c r="E25" s="558">
        <f>SUM(C25:D25)</f>
        <v>-293659.07999999996</v>
      </c>
    </row>
    <row r="26" spans="1:5">
      <c r="A26" s="192"/>
      <c r="B26" s="276"/>
      <c r="C26" s="559"/>
      <c r="D26" s="559"/>
      <c r="E26" s="555"/>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49"/>
  <sheetViews>
    <sheetView workbookViewId="0">
      <selection activeCell="G27" sqref="G27"/>
    </sheetView>
  </sheetViews>
  <sheetFormatPr defaultColWidth="13.33203125" defaultRowHeight="12.75" outlineLevelRow="1"/>
  <cols>
    <col min="1" max="1" width="2.83203125" style="410" customWidth="1"/>
    <col min="2" max="2" width="40.6640625" style="410" customWidth="1"/>
    <col min="3" max="3" width="18.33203125" style="410" customWidth="1"/>
    <col min="4" max="4" width="10.6640625" style="410" customWidth="1"/>
    <col min="5" max="5" width="18.33203125" style="471" customWidth="1"/>
    <col min="6" max="6" width="10.1640625" style="410" customWidth="1"/>
    <col min="7" max="7" width="11.33203125" style="410" customWidth="1"/>
    <col min="8" max="16384" width="13.33203125" style="410"/>
  </cols>
  <sheetData>
    <row r="1" spans="1:28" ht="15.75">
      <c r="A1" s="407" t="s">
        <v>4</v>
      </c>
      <c r="B1" s="408"/>
      <c r="C1" s="408"/>
      <c r="D1" s="408"/>
      <c r="E1" s="408"/>
      <c r="F1" s="408"/>
      <c r="G1" s="408"/>
      <c r="H1" s="409"/>
      <c r="I1" s="409"/>
      <c r="J1" s="409"/>
      <c r="K1" s="409"/>
      <c r="L1" s="409"/>
      <c r="M1" s="409"/>
    </row>
    <row r="2" spans="1:28" ht="15.75">
      <c r="A2" s="411" t="s">
        <v>179</v>
      </c>
      <c r="B2" s="412"/>
      <c r="C2" s="413"/>
      <c r="D2" s="412"/>
      <c r="E2" s="412"/>
      <c r="F2" s="412"/>
      <c r="G2" s="412"/>
      <c r="AB2" s="414" t="s">
        <v>180</v>
      </c>
    </row>
    <row r="3" spans="1:28">
      <c r="A3" s="415">
        <v>42004</v>
      </c>
      <c r="B3" s="415"/>
      <c r="C3" s="415"/>
      <c r="D3" s="415"/>
      <c r="E3" s="416"/>
      <c r="F3" s="416"/>
      <c r="G3" s="416"/>
    </row>
    <row r="4" spans="1:28" ht="15.75">
      <c r="A4" s="417"/>
      <c r="B4" s="418"/>
      <c r="C4" s="419"/>
      <c r="D4" s="418"/>
      <c r="E4" s="420"/>
      <c r="F4" s="418"/>
      <c r="G4" s="418"/>
    </row>
    <row r="5" spans="1:28">
      <c r="A5" s="417"/>
      <c r="B5" s="418"/>
      <c r="C5" s="418"/>
      <c r="D5" s="418"/>
      <c r="E5" s="420"/>
      <c r="F5" s="418"/>
      <c r="G5" s="418"/>
    </row>
    <row r="6" spans="1:28">
      <c r="A6" s="130"/>
      <c r="B6" s="418"/>
      <c r="C6" s="418"/>
      <c r="D6" s="418"/>
      <c r="E6" s="420"/>
      <c r="F6" s="418"/>
      <c r="G6" s="418"/>
    </row>
    <row r="7" spans="1:28">
      <c r="A7" s="130"/>
      <c r="B7" s="104" t="s">
        <v>2</v>
      </c>
      <c r="C7" s="111"/>
      <c r="D7" s="111"/>
      <c r="E7" s="421"/>
      <c r="F7" s="111"/>
      <c r="G7" s="104"/>
      <c r="H7" s="104"/>
      <c r="I7" s="104"/>
    </row>
    <row r="8" spans="1:28">
      <c r="A8" s="130"/>
      <c r="B8" s="111"/>
      <c r="C8" s="107"/>
      <c r="D8" s="111"/>
      <c r="E8" s="421"/>
      <c r="F8" s="111"/>
      <c r="G8" s="422" t="s">
        <v>181</v>
      </c>
      <c r="H8" s="104"/>
      <c r="I8" s="104"/>
    </row>
    <row r="9" spans="1:28">
      <c r="A9" s="130"/>
      <c r="B9" s="107" t="s">
        <v>182</v>
      </c>
      <c r="C9" s="107" t="s">
        <v>183</v>
      </c>
      <c r="D9" s="422" t="s">
        <v>184</v>
      </c>
      <c r="E9" s="422" t="s">
        <v>185</v>
      </c>
      <c r="F9" s="422" t="s">
        <v>186</v>
      </c>
      <c r="G9" s="422" t="s">
        <v>187</v>
      </c>
      <c r="H9" s="104"/>
      <c r="I9" s="104"/>
    </row>
    <row r="10" spans="1:28">
      <c r="A10" s="130"/>
      <c r="B10" s="109"/>
      <c r="C10" s="109"/>
      <c r="D10" s="109"/>
      <c r="E10" s="423"/>
      <c r="F10" s="109"/>
      <c r="G10" s="109"/>
      <c r="H10" s="104"/>
      <c r="I10" s="104"/>
    </row>
    <row r="11" spans="1:28">
      <c r="A11" s="130"/>
      <c r="B11" s="107"/>
      <c r="C11" s="109"/>
      <c r="D11" s="109"/>
      <c r="E11" s="423"/>
      <c r="F11" s="109"/>
      <c r="G11" s="109"/>
      <c r="H11" s="104"/>
      <c r="I11" s="104"/>
    </row>
    <row r="12" spans="1:28">
      <c r="A12" s="130"/>
      <c r="B12" s="424" t="s">
        <v>188</v>
      </c>
      <c r="C12" s="425">
        <f>'3 - STD Cost Rate'!C23</f>
        <v>172711821</v>
      </c>
      <c r="D12" s="426">
        <f>ROUND(C12/C$27,4)</f>
        <v>1.84E-2</v>
      </c>
      <c r="E12" s="427">
        <f>'3 - STD Cost Rate'!E23</f>
        <v>2764344.8306596046</v>
      </c>
      <c r="F12" s="428">
        <f>ROUND(E12/C12,4)</f>
        <v>1.6E-2</v>
      </c>
      <c r="G12" s="429">
        <f>ROUND(+D12*F12,4)</f>
        <v>2.9999999999999997E-4</v>
      </c>
      <c r="H12" s="104"/>
      <c r="I12" s="104"/>
    </row>
    <row r="13" spans="1:28">
      <c r="A13" s="130"/>
      <c r="B13" s="424"/>
      <c r="C13" s="425"/>
      <c r="D13" s="426"/>
      <c r="E13" s="427"/>
      <c r="F13" s="428"/>
      <c r="G13" s="429"/>
      <c r="H13" s="104"/>
      <c r="I13" s="104"/>
    </row>
    <row r="14" spans="1:28" hidden="1" outlineLevel="1">
      <c r="A14" s="130"/>
      <c r="B14" s="430" t="s">
        <v>189</v>
      </c>
      <c r="C14" s="431">
        <f>'6 - LTD Cost '!S27</f>
        <v>4823860000</v>
      </c>
      <c r="D14" s="432">
        <f>ROUND(C14/C$27,4)</f>
        <v>0.51419999999999999</v>
      </c>
      <c r="E14" s="433">
        <f>'6 - LTD Cost '!X27</f>
        <v>244374128</v>
      </c>
      <c r="F14" s="434">
        <f>ROUND(E14/C14,4)</f>
        <v>5.0700000000000002E-2</v>
      </c>
      <c r="G14" s="435">
        <f>ROUND(+D14*F14,4)</f>
        <v>2.6100000000000002E-2</v>
      </c>
      <c r="H14" s="104"/>
      <c r="I14" s="104"/>
    </row>
    <row r="15" spans="1:28" hidden="1" outlineLevel="1">
      <c r="A15" s="130"/>
      <c r="B15" s="430" t="s">
        <v>190</v>
      </c>
      <c r="C15" s="431"/>
      <c r="D15" s="432"/>
      <c r="E15" s="433"/>
      <c r="F15" s="434"/>
      <c r="G15" s="435"/>
      <c r="H15" s="104"/>
      <c r="I15" s="104"/>
    </row>
    <row r="16" spans="1:28" hidden="1" outlineLevel="1">
      <c r="A16" s="130"/>
      <c r="B16" s="430" t="s">
        <v>191</v>
      </c>
      <c r="C16" s="431"/>
      <c r="D16" s="432"/>
      <c r="E16" s="433"/>
      <c r="F16" s="434"/>
      <c r="G16" s="435"/>
      <c r="H16" s="104"/>
      <c r="I16" s="104"/>
    </row>
    <row r="17" spans="1:9" hidden="1" outlineLevel="1">
      <c r="A17" s="130"/>
      <c r="B17" s="430" t="s">
        <v>192</v>
      </c>
      <c r="C17" s="436"/>
      <c r="D17" s="432">
        <f>ROUND(C17/C$27,4)</f>
        <v>0</v>
      </c>
      <c r="E17" s="437"/>
      <c r="F17" s="434"/>
      <c r="G17" s="435">
        <f>ROUND(+D17*F17,4)</f>
        <v>0</v>
      </c>
      <c r="H17" s="104"/>
      <c r="I17" s="104"/>
    </row>
    <row r="18" spans="1:9" hidden="1" outlineLevel="1">
      <c r="A18" s="130"/>
      <c r="B18" s="438"/>
      <c r="C18" s="425"/>
      <c r="D18" s="426" t="s">
        <v>2</v>
      </c>
      <c r="E18" s="427"/>
      <c r="F18" s="428"/>
      <c r="G18" s="429"/>
      <c r="H18" s="104"/>
      <c r="I18" s="104"/>
    </row>
    <row r="19" spans="1:9" collapsed="1">
      <c r="A19" s="130"/>
      <c r="B19" s="439" t="s">
        <v>193</v>
      </c>
      <c r="C19" s="425">
        <f>SUM(C14:C18)</f>
        <v>4823860000</v>
      </c>
      <c r="D19" s="426">
        <f>ROUND(C19/C27,4)</f>
        <v>0.51419999999999999</v>
      </c>
      <c r="E19" s="425">
        <f>SUM(E14:E18)</f>
        <v>244374128</v>
      </c>
      <c r="F19" s="440">
        <f>ROUND(E19/C19,4)</f>
        <v>5.0700000000000002E-2</v>
      </c>
      <c r="G19" s="429">
        <f>ROUND(+D19*F19,4)</f>
        <v>2.6100000000000002E-2</v>
      </c>
      <c r="H19" s="104"/>
      <c r="I19" s="104"/>
    </row>
    <row r="20" spans="1:9">
      <c r="A20" s="130"/>
      <c r="B20" s="109"/>
      <c r="C20" s="441"/>
      <c r="D20" s="441"/>
      <c r="E20" s="427"/>
      <c r="F20" s="441"/>
      <c r="G20" s="441"/>
      <c r="H20" s="104"/>
      <c r="I20" s="104"/>
    </row>
    <row r="21" spans="1:9">
      <c r="A21" s="130"/>
      <c r="B21" s="110" t="s">
        <v>194</v>
      </c>
      <c r="C21" s="442">
        <f>C19+C12</f>
        <v>4996571821</v>
      </c>
      <c r="D21" s="443">
        <f>ROUND(C21/$C$27,4)</f>
        <v>0.53259999999999996</v>
      </c>
      <c r="E21" s="444">
        <f>E19+E12</f>
        <v>247138472.8306596</v>
      </c>
      <c r="F21" s="445">
        <f>ROUND(E21/C21,4)</f>
        <v>4.9500000000000002E-2</v>
      </c>
      <c r="G21" s="446">
        <f>ROUND(+D21*F21,4)</f>
        <v>2.64E-2</v>
      </c>
      <c r="H21" s="104"/>
      <c r="I21" s="104"/>
    </row>
    <row r="22" spans="1:9">
      <c r="A22" s="130"/>
      <c r="B22" s="111"/>
      <c r="C22" s="447"/>
      <c r="D22" s="426"/>
      <c r="E22" s="427"/>
      <c r="F22" s="447"/>
      <c r="G22" s="447"/>
      <c r="H22" s="104"/>
      <c r="I22" s="104"/>
    </row>
    <row r="23" spans="1:9">
      <c r="A23" s="130"/>
      <c r="B23" s="110" t="s">
        <v>195</v>
      </c>
      <c r="C23" s="448">
        <v>0</v>
      </c>
      <c r="D23" s="426">
        <f>ROUND(C23/$C$27,4)</f>
        <v>0</v>
      </c>
      <c r="E23" s="449">
        <v>0</v>
      </c>
      <c r="F23" s="476">
        <v>0</v>
      </c>
      <c r="G23" s="429">
        <f>ROUND(+D23*F23,4)</f>
        <v>0</v>
      </c>
      <c r="H23" s="104"/>
      <c r="I23" s="104"/>
    </row>
    <row r="24" spans="1:9">
      <c r="A24" s="130"/>
      <c r="B24" s="111"/>
      <c r="C24" s="425"/>
      <c r="D24" s="426"/>
      <c r="E24" s="427"/>
      <c r="F24" s="447"/>
      <c r="G24" s="447"/>
      <c r="H24" s="104"/>
      <c r="I24" s="104"/>
    </row>
    <row r="25" spans="1:9">
      <c r="A25" s="130"/>
      <c r="B25" s="110" t="s">
        <v>201</v>
      </c>
      <c r="C25" s="442">
        <f>'2 - CapStructure'!I34-'2 - CapStructure'!L38</f>
        <v>4385109364</v>
      </c>
      <c r="D25" s="443">
        <f>ROUND(C25/$C$27,4)</f>
        <v>0.46739999999999998</v>
      </c>
      <c r="E25" s="450"/>
      <c r="F25" s="451" t="e">
        <f>#REF!</f>
        <v>#REF!</v>
      </c>
      <c r="G25" s="446" t="e">
        <f>ROUND(+D25*F25,4)</f>
        <v>#REF!</v>
      </c>
      <c r="H25" s="104"/>
      <c r="I25" s="104"/>
    </row>
    <row r="26" spans="1:9">
      <c r="A26" s="130"/>
      <c r="B26" s="111"/>
      <c r="C26" s="452"/>
      <c r="D26" s="453"/>
      <c r="E26" s="427"/>
      <c r="F26" s="447"/>
      <c r="G26" s="452"/>
      <c r="H26" s="104"/>
      <c r="I26" s="104"/>
    </row>
    <row r="27" spans="1:9">
      <c r="A27" s="130"/>
      <c r="B27" s="110" t="s">
        <v>166</v>
      </c>
      <c r="C27" s="454">
        <f>SUM(C21:C25)</f>
        <v>9381681185</v>
      </c>
      <c r="D27" s="455">
        <f>SUM(D21:D25)</f>
        <v>1</v>
      </c>
      <c r="E27" s="456"/>
      <c r="F27" s="457"/>
      <c r="G27" s="458" t="e">
        <f>SUM(G21:G25)</f>
        <v>#REF!</v>
      </c>
      <c r="H27" s="104"/>
      <c r="I27" s="104"/>
    </row>
    <row r="28" spans="1:9">
      <c r="A28" s="130"/>
      <c r="B28" s="104"/>
      <c r="C28" s="447"/>
      <c r="D28" s="447"/>
      <c r="E28" s="459"/>
      <c r="F28" s="447"/>
      <c r="G28" s="447"/>
      <c r="H28" s="104"/>
      <c r="I28" s="104"/>
    </row>
    <row r="29" spans="1:9">
      <c r="A29" s="130"/>
      <c r="B29" s="104"/>
      <c r="C29" s="447"/>
      <c r="D29" s="447"/>
      <c r="E29" s="459"/>
      <c r="F29" s="447" t="s">
        <v>2</v>
      </c>
      <c r="G29" s="447"/>
      <c r="H29" s="104"/>
      <c r="I29" s="104"/>
    </row>
    <row r="30" spans="1:9">
      <c r="A30" s="130"/>
      <c r="B30" s="104"/>
      <c r="C30" s="460"/>
      <c r="D30" s="104"/>
      <c r="E30" s="461"/>
      <c r="F30" s="104"/>
      <c r="G30" s="104"/>
      <c r="H30" s="104"/>
      <c r="I30" s="104"/>
    </row>
    <row r="31" spans="1:9">
      <c r="A31" s="130"/>
      <c r="B31" s="462" t="s">
        <v>196</v>
      </c>
      <c r="C31" s="418"/>
      <c r="D31" s="418"/>
      <c r="E31" s="420"/>
      <c r="F31" s="418"/>
      <c r="G31" s="418"/>
    </row>
    <row r="32" spans="1:9">
      <c r="A32" s="130"/>
      <c r="B32" s="463" t="s">
        <v>197</v>
      </c>
      <c r="C32" s="418"/>
      <c r="D32" s="418"/>
      <c r="E32" s="420"/>
      <c r="F32" s="418"/>
      <c r="G32" s="418"/>
    </row>
    <row r="33" spans="1:7">
      <c r="A33" s="130"/>
      <c r="B33" s="464" t="s">
        <v>200</v>
      </c>
      <c r="C33" s="418"/>
      <c r="D33" s="418"/>
      <c r="E33" s="420"/>
      <c r="F33" s="418"/>
      <c r="G33" s="418"/>
    </row>
    <row r="34" spans="1:7">
      <c r="A34" s="465"/>
      <c r="B34" s="462" t="s">
        <v>202</v>
      </c>
      <c r="C34" s="418"/>
      <c r="D34" s="418"/>
      <c r="E34" s="420"/>
      <c r="F34" s="418"/>
      <c r="G34" s="418"/>
    </row>
    <row r="35" spans="1:7">
      <c r="A35" s="465"/>
      <c r="B35" s="418"/>
      <c r="C35" s="418"/>
      <c r="D35" s="418"/>
      <c r="E35" s="420"/>
      <c r="F35" s="418"/>
      <c r="G35" s="418"/>
    </row>
    <row r="36" spans="1:7">
      <c r="A36" s="417"/>
      <c r="B36" s="418"/>
      <c r="C36" s="418"/>
      <c r="D36" s="418"/>
      <c r="E36" s="420"/>
      <c r="F36" s="418"/>
      <c r="G36" s="418"/>
    </row>
    <row r="41" spans="1:7">
      <c r="C41" s="466"/>
      <c r="D41" s="467"/>
      <c r="E41" s="468"/>
    </row>
    <row r="42" spans="1:7">
      <c r="D42" s="467"/>
      <c r="E42" s="468"/>
    </row>
    <row r="43" spans="1:7">
      <c r="C43" s="466"/>
      <c r="D43" s="467"/>
      <c r="E43" s="468"/>
    </row>
    <row r="44" spans="1:7">
      <c r="C44" s="466"/>
      <c r="D44" s="467"/>
      <c r="E44" s="468"/>
    </row>
    <row r="45" spans="1:7">
      <c r="C45" s="466"/>
      <c r="D45" s="467"/>
      <c r="E45" s="468"/>
    </row>
    <row r="46" spans="1:7">
      <c r="C46" s="466"/>
      <c r="D46" s="467"/>
      <c r="E46" s="468"/>
    </row>
    <row r="47" spans="1:7">
      <c r="D47" s="467"/>
      <c r="E47" s="468"/>
    </row>
    <row r="48" spans="1:7">
      <c r="C48" s="466"/>
      <c r="D48" s="467"/>
      <c r="E48" s="468"/>
    </row>
    <row r="49" spans="4:5">
      <c r="D49" s="469"/>
      <c r="E49" s="470"/>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4"/>
  <sheetViews>
    <sheetView view="pageLayout" zoomScaleNormal="100" workbookViewId="0">
      <selection activeCell="B52" sqref="B52"/>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56" t="s">
        <v>316</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'2 - CapStructure'!Q10</f>
        <v>172711821</v>
      </c>
      <c r="D14" s="609">
        <f>ROUND(C14/$C$30,4)</f>
        <v>1.9E-2</v>
      </c>
      <c r="E14" s="351">
        <f>'6 - LTD Cost '!H31</f>
        <v>3.5000000000000001E-3</v>
      </c>
      <c r="F14" s="181">
        <f>ROUND(D14*E14,4)</f>
        <v>1E-4</v>
      </c>
      <c r="L14" s="238"/>
    </row>
    <row r="15" spans="1:12">
      <c r="A15" s="193">
        <f t="shared" si="0"/>
        <v>8</v>
      </c>
      <c r="B15" s="109"/>
      <c r="C15" s="168"/>
      <c r="D15" s="181"/>
      <c r="E15" s="167"/>
      <c r="F15" s="181"/>
      <c r="L15" s="238"/>
    </row>
    <row r="16" spans="1:12">
      <c r="A16" s="193">
        <f t="shared" si="0"/>
        <v>9</v>
      </c>
      <c r="B16" s="109" t="s">
        <v>14</v>
      </c>
      <c r="C16" s="168">
        <f>'2 - CapStructure'!Q16</f>
        <v>4468766309</v>
      </c>
      <c r="D16" s="573">
        <f>ROUND(C16/$C$30,4)</f>
        <v>0.49099999999999999</v>
      </c>
      <c r="E16" s="169">
        <f>'6 - LTD Cost '!H29</f>
        <v>5.2200000000000003E-2</v>
      </c>
      <c r="F16" s="181">
        <f>ROUND(D16*E16,4)</f>
        <v>2.5600000000000001E-2</v>
      </c>
      <c r="L16" s="238"/>
    </row>
    <row r="17" spans="1:12">
      <c r="A17" s="193">
        <f t="shared" si="0"/>
        <v>10</v>
      </c>
      <c r="B17" s="111"/>
      <c r="C17" s="170"/>
      <c r="D17" s="181"/>
      <c r="E17" s="169"/>
      <c r="F17" s="359"/>
      <c r="H17" s="250"/>
      <c r="I17" s="195"/>
      <c r="J17" s="195"/>
      <c r="K17" s="195"/>
      <c r="L17" s="251"/>
    </row>
    <row r="18" spans="1:12">
      <c r="A18" s="193">
        <v>11</v>
      </c>
      <c r="B18" s="104" t="s">
        <v>304</v>
      </c>
      <c r="C18" s="170"/>
      <c r="D18" s="181">
        <f>ROUND((C14+C16)/C30,4)</f>
        <v>0.50990000000000002</v>
      </c>
      <c r="E18" s="169">
        <f>'6 - LTD Cost '!H33</f>
        <v>5.04E-2</v>
      </c>
      <c r="F18" s="359">
        <f>F16+F14</f>
        <v>2.5700000000000001E-2</v>
      </c>
      <c r="H18" s="584"/>
      <c r="I18" s="195"/>
      <c r="J18" s="195"/>
      <c r="K18" s="195"/>
      <c r="L18" s="251"/>
    </row>
    <row r="19" spans="1:12">
      <c r="A19" s="193">
        <v>12</v>
      </c>
      <c r="B19" s="111"/>
      <c r="C19" s="170"/>
      <c r="D19" s="181"/>
      <c r="E19" s="169"/>
      <c r="F19" s="359"/>
      <c r="H19" s="250"/>
      <c r="I19" s="195"/>
      <c r="J19" s="195"/>
      <c r="K19" s="195"/>
      <c r="L19" s="251"/>
    </row>
    <row r="20" spans="1:12">
      <c r="A20" s="193">
        <v>13</v>
      </c>
      <c r="B20" s="104" t="s">
        <v>54</v>
      </c>
      <c r="C20" s="170"/>
      <c r="D20" s="181"/>
      <c r="E20" s="169"/>
      <c r="F20" s="359">
        <f>'4 - STD OS &amp; Comm Fees'!F20</f>
        <v>2.0000000000000001E-4</v>
      </c>
      <c r="H20" s="250"/>
      <c r="I20" s="195"/>
      <c r="J20" s="195"/>
      <c r="K20" s="195"/>
      <c r="L20" s="251"/>
    </row>
    <row r="21" spans="1:12">
      <c r="A21" s="193">
        <v>14</v>
      </c>
      <c r="B21" s="111"/>
      <c r="C21" s="170"/>
      <c r="D21" s="181"/>
      <c r="E21" s="169"/>
      <c r="F21" s="359"/>
      <c r="H21" s="250"/>
      <c r="I21" s="195"/>
      <c r="J21" s="195"/>
      <c r="K21" s="195"/>
      <c r="L21" s="251"/>
    </row>
    <row r="22" spans="1:12">
      <c r="A22" s="193">
        <v>15</v>
      </c>
      <c r="B22" s="104" t="s">
        <v>305</v>
      </c>
      <c r="C22" s="170"/>
      <c r="D22" s="181"/>
      <c r="E22" s="169"/>
      <c r="F22" s="359">
        <f>'5 - STD Amort'!G35</f>
        <v>1E-4</v>
      </c>
      <c r="H22" s="250"/>
      <c r="I22" s="195"/>
      <c r="J22" s="195"/>
      <c r="K22" s="195"/>
      <c r="L22" s="251"/>
    </row>
    <row r="23" spans="1:12">
      <c r="A23" s="193">
        <v>16</v>
      </c>
      <c r="B23" s="111"/>
      <c r="C23" s="170"/>
      <c r="D23" s="181"/>
      <c r="E23" s="169"/>
      <c r="F23" s="359"/>
      <c r="H23" s="250"/>
      <c r="I23" s="195"/>
      <c r="J23" s="195"/>
      <c r="K23" s="195"/>
      <c r="L23" s="251"/>
    </row>
    <row r="24" spans="1:12">
      <c r="A24" s="193">
        <v>17</v>
      </c>
      <c r="B24" s="104" t="s">
        <v>306</v>
      </c>
      <c r="C24" s="170"/>
      <c r="D24" s="181"/>
      <c r="E24" s="169"/>
      <c r="F24" s="359">
        <f>'7 - Reacquired Debt'!I36</f>
        <v>2.0000000000000001E-4</v>
      </c>
      <c r="H24" s="250"/>
      <c r="I24" s="195"/>
      <c r="J24" s="195"/>
      <c r="K24" s="195"/>
      <c r="L24" s="251"/>
    </row>
    <row r="25" spans="1:12">
      <c r="A25" s="193">
        <v>18</v>
      </c>
      <c r="B25" s="111"/>
      <c r="C25" s="170"/>
      <c r="D25" s="181"/>
      <c r="E25" s="169"/>
      <c r="F25" s="359"/>
      <c r="H25" s="250"/>
      <c r="I25" s="195"/>
      <c r="J25" s="195"/>
      <c r="K25" s="195"/>
      <c r="L25" s="251"/>
    </row>
    <row r="26" spans="1:12">
      <c r="A26" s="193">
        <v>19</v>
      </c>
      <c r="B26" s="111" t="s">
        <v>307</v>
      </c>
      <c r="C26" s="170">
        <f>C16+C14</f>
        <v>4641478130</v>
      </c>
      <c r="D26" s="181">
        <f>D18</f>
        <v>0.50990000000000002</v>
      </c>
      <c r="E26" s="169"/>
      <c r="F26" s="605">
        <f>SUM(F18:F25)</f>
        <v>2.6199999999999998E-2</v>
      </c>
      <c r="G26" s="600"/>
      <c r="H26" s="250"/>
      <c r="I26" s="195"/>
      <c r="J26" s="195"/>
      <c r="K26" s="195"/>
      <c r="L26" s="251"/>
    </row>
    <row r="27" spans="1:12">
      <c r="A27" s="193">
        <v>20</v>
      </c>
      <c r="B27" s="111"/>
      <c r="C27" s="170"/>
      <c r="D27" s="181"/>
      <c r="E27" s="169"/>
      <c r="F27" s="359"/>
      <c r="H27" s="250"/>
      <c r="I27" s="195"/>
      <c r="J27" s="195"/>
      <c r="K27" s="195"/>
      <c r="L27" s="251"/>
    </row>
    <row r="28" spans="1:12">
      <c r="A28" s="193">
        <v>21</v>
      </c>
      <c r="B28" s="110" t="s">
        <v>15</v>
      </c>
      <c r="C28" s="172">
        <f>'2 - CapStructure'!Q20</f>
        <v>4460582650</v>
      </c>
      <c r="D28" s="339">
        <f>ROUND(C28/$C$30,4)</f>
        <v>0.49009999999999998</v>
      </c>
      <c r="E28" s="608">
        <v>9.4E-2</v>
      </c>
      <c r="F28" s="360">
        <f>ROUND(D28*E28,4)</f>
        <v>4.6100000000000002E-2</v>
      </c>
      <c r="H28" s="252"/>
      <c r="I28" s="608"/>
      <c r="J28" s="253"/>
      <c r="K28" s="254"/>
      <c r="L28" s="169"/>
    </row>
    <row r="29" spans="1:12">
      <c r="A29" s="193">
        <v>22</v>
      </c>
      <c r="B29" s="111"/>
      <c r="C29" s="169"/>
      <c r="D29" s="173"/>
      <c r="E29" s="567"/>
      <c r="F29" s="169"/>
      <c r="H29" s="252"/>
      <c r="I29" s="608"/>
      <c r="J29" s="253"/>
      <c r="K29" s="254"/>
      <c r="L29" s="169"/>
    </row>
    <row r="30" spans="1:12">
      <c r="A30" s="193">
        <v>23</v>
      </c>
      <c r="B30" s="110" t="s">
        <v>16</v>
      </c>
      <c r="C30" s="175">
        <f>C28+C26</f>
        <v>9102060780</v>
      </c>
      <c r="D30" s="244">
        <f>D28+D18</f>
        <v>1</v>
      </c>
      <c r="E30" s="577"/>
      <c r="F30" s="227">
        <f>F28+F26</f>
        <v>7.2300000000000003E-2</v>
      </c>
      <c r="H30" s="112"/>
      <c r="I30" s="112"/>
      <c r="J30" s="253"/>
      <c r="K30" s="169"/>
      <c r="L30" s="255"/>
    </row>
    <row r="31" spans="1:12">
      <c r="A31" s="193">
        <v>24</v>
      </c>
      <c r="B31" s="104"/>
      <c r="C31" s="112"/>
      <c r="D31" s="112"/>
      <c r="E31" s="176"/>
      <c r="F31" s="112"/>
      <c r="H31" s="104"/>
      <c r="I31" s="104"/>
      <c r="J31" s="104"/>
    </row>
    <row r="32" spans="1:12">
      <c r="A32" s="193">
        <v>25</v>
      </c>
      <c r="B32" s="104"/>
      <c r="C32" s="104"/>
      <c r="D32" s="104"/>
      <c r="E32" s="112"/>
      <c r="F32" s="104"/>
    </row>
    <row r="33" spans="1:7">
      <c r="A33" s="193">
        <v>26</v>
      </c>
      <c r="B33" s="375" t="s">
        <v>341</v>
      </c>
      <c r="C33" s="104"/>
      <c r="D33" s="104"/>
      <c r="E33" s="140"/>
      <c r="F33" s="104"/>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&amp;C1 - Cost of Capital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B677"/>
  <sheetViews>
    <sheetView view="pageLayout" topLeftCell="A10" zoomScaleNormal="120" workbookViewId="0">
      <selection activeCell="T7" sqref="T7"/>
    </sheetView>
  </sheetViews>
  <sheetFormatPr defaultColWidth="15.83203125" defaultRowHeight="12.75"/>
  <cols>
    <col min="1" max="1" width="3.33203125" style="1" customWidth="1"/>
    <col min="2" max="2" width="32.33203125" style="1" customWidth="1"/>
    <col min="3" max="3" width="14.1640625" style="2" customWidth="1"/>
    <col min="4" max="4" width="11" style="2" customWidth="1"/>
    <col min="5" max="5" width="11.1640625" style="2" customWidth="1"/>
    <col min="6" max="7" width="10.83203125" style="2" customWidth="1"/>
    <col min="8" max="9" width="10.5" style="2" customWidth="1"/>
    <col min="10" max="11" width="10.83203125" style="2" customWidth="1"/>
    <col min="12" max="14" width="10.6640625" style="2" customWidth="1"/>
    <col min="15" max="15" width="11.5" style="2" customWidth="1"/>
    <col min="16" max="16" width="10.6640625" style="2" customWidth="1"/>
    <col min="17" max="17" width="12.5" style="1" customWidth="1"/>
    <col min="18" max="18" width="10.33203125" style="1" customWidth="1"/>
    <col min="19" max="19" width="17.83203125" style="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78" t="s">
        <v>317</v>
      </c>
      <c r="C3" s="678"/>
      <c r="D3" s="678"/>
      <c r="E3" s="678"/>
      <c r="F3" s="678"/>
      <c r="G3" s="678"/>
      <c r="H3" s="678"/>
      <c r="I3" s="678"/>
      <c r="J3" s="678"/>
      <c r="K3" s="678"/>
      <c r="L3" s="678"/>
      <c r="M3" s="678"/>
      <c r="N3" s="678"/>
      <c r="O3" s="678"/>
      <c r="P3" s="678"/>
      <c r="Q3" s="678"/>
    </row>
    <row r="4" spans="1:53">
      <c r="B4" s="677" t="s">
        <v>59</v>
      </c>
      <c r="C4" s="677"/>
      <c r="D4" s="677"/>
      <c r="E4" s="677"/>
      <c r="F4" s="677"/>
      <c r="G4" s="677"/>
      <c r="H4" s="677"/>
      <c r="I4" s="677"/>
      <c r="J4" s="677"/>
      <c r="K4" s="677"/>
      <c r="L4" s="677"/>
      <c r="M4" s="677"/>
      <c r="N4" s="677"/>
      <c r="O4" s="677"/>
      <c r="P4" s="677"/>
      <c r="Q4" s="677"/>
    </row>
    <row r="5" spans="1:53">
      <c r="A5" s="130">
        <v>1</v>
      </c>
      <c r="B5" s="128" t="s">
        <v>5</v>
      </c>
      <c r="C5" s="314" t="s">
        <v>27</v>
      </c>
      <c r="D5" s="314" t="s">
        <v>52</v>
      </c>
      <c r="E5" s="314" t="s">
        <v>64</v>
      </c>
      <c r="F5" s="314" t="s">
        <v>65</v>
      </c>
      <c r="G5" s="314" t="s">
        <v>66</v>
      </c>
      <c r="H5" s="314" t="s">
        <v>67</v>
      </c>
      <c r="I5" s="314" t="s">
        <v>68</v>
      </c>
      <c r="J5" s="314" t="s">
        <v>69</v>
      </c>
      <c r="K5" s="314" t="s">
        <v>71</v>
      </c>
      <c r="L5" s="314" t="s">
        <v>72</v>
      </c>
      <c r="M5" s="314" t="s">
        <v>73</v>
      </c>
      <c r="N5" s="314" t="s">
        <v>74</v>
      </c>
      <c r="O5" s="314" t="s">
        <v>75</v>
      </c>
      <c r="P5" s="314"/>
      <c r="Q5" s="128" t="s">
        <v>76</v>
      </c>
    </row>
    <row r="6" spans="1:53" ht="35.1" customHeight="1">
      <c r="A6" s="130">
        <f>+A5+1</f>
        <v>2</v>
      </c>
      <c r="B6" s="102" t="s">
        <v>1</v>
      </c>
      <c r="C6" s="198">
        <v>44196</v>
      </c>
      <c r="D6" s="198">
        <v>44227</v>
      </c>
      <c r="E6" s="198">
        <v>44255</v>
      </c>
      <c r="F6" s="198">
        <v>44286</v>
      </c>
      <c r="G6" s="198">
        <v>44316</v>
      </c>
      <c r="H6" s="198">
        <v>44347</v>
      </c>
      <c r="I6" s="198">
        <v>44377</v>
      </c>
      <c r="J6" s="198">
        <v>44408</v>
      </c>
      <c r="K6" s="198">
        <v>44439</v>
      </c>
      <c r="L6" s="198">
        <v>44469</v>
      </c>
      <c r="M6" s="198">
        <v>44500</v>
      </c>
      <c r="N6" s="198">
        <v>44530</v>
      </c>
      <c r="O6" s="198">
        <v>44561</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76">
        <v>373800000</v>
      </c>
      <c r="D7" s="376">
        <v>302000000</v>
      </c>
      <c r="E7" s="376">
        <v>237000000</v>
      </c>
      <c r="F7" s="376">
        <v>191000000</v>
      </c>
      <c r="G7" s="376">
        <v>166000000</v>
      </c>
      <c r="H7" s="376">
        <v>162300000</v>
      </c>
      <c r="I7" s="376">
        <v>231300000</v>
      </c>
      <c r="J7" s="376">
        <v>259000000</v>
      </c>
      <c r="K7" s="376">
        <v>290000000</v>
      </c>
      <c r="L7" s="376">
        <v>0</v>
      </c>
      <c r="M7" s="376">
        <v>11379278.909546301</v>
      </c>
      <c r="N7" s="376">
        <v>9590133.0598073099</v>
      </c>
      <c r="O7" s="376">
        <v>52144870.214709699</v>
      </c>
      <c r="P7" s="376"/>
      <c r="Q7" s="163">
        <f>ROUND(((C7+O7)+(SUM(D7:N7)*2))/24,0)</f>
        <v>172711821</v>
      </c>
      <c r="R7" s="562"/>
      <c r="T7" s="1">
        <f>ROUND(((L7+O7)+(SUM(M7:N7)*2))/6,0)</f>
        <v>15680616</v>
      </c>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171</v>
      </c>
      <c r="C8" s="376"/>
      <c r="D8" s="376"/>
      <c r="E8" s="376"/>
      <c r="F8" s="376"/>
      <c r="G8" s="376"/>
      <c r="H8" s="376"/>
      <c r="I8" s="376"/>
      <c r="J8" s="376"/>
      <c r="K8" s="376"/>
      <c r="L8" s="376"/>
      <c r="M8" s="376"/>
      <c r="N8" s="376"/>
      <c r="O8" s="376"/>
      <c r="P8" s="376"/>
      <c r="Q8" s="163">
        <f>ROUND(((C8+L8)+(SUM(D8:N8)*2))/24,0)</f>
        <v>0</v>
      </c>
      <c r="R8" s="562"/>
      <c r="S8" s="563"/>
      <c r="T8" s="563"/>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0">
        <f>+A8+1</f>
        <v>5</v>
      </c>
      <c r="B9" s="142" t="s">
        <v>158</v>
      </c>
      <c r="C9" s="376"/>
      <c r="D9" s="376"/>
      <c r="E9" s="376"/>
      <c r="F9" s="376"/>
      <c r="G9" s="376"/>
      <c r="H9" s="376"/>
      <c r="I9" s="376"/>
      <c r="J9" s="376"/>
      <c r="K9" s="376"/>
      <c r="L9" s="376"/>
      <c r="M9" s="376"/>
      <c r="N9" s="376"/>
      <c r="O9" s="376"/>
      <c r="P9" s="376"/>
      <c r="Q9" s="163">
        <f>ROUND(((C9+O9)+(SUM(D9:N9)*2))/24,0)</f>
        <v>0</v>
      </c>
      <c r="R9" s="101"/>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0">
        <f>+A9+1</f>
        <v>6</v>
      </c>
      <c r="B10" s="143" t="s">
        <v>30</v>
      </c>
      <c r="C10" s="365">
        <f t="shared" ref="C10:H10" si="0">SUM(C7:C9)</f>
        <v>373800000</v>
      </c>
      <c r="D10" s="365">
        <f t="shared" si="0"/>
        <v>302000000</v>
      </c>
      <c r="E10" s="365">
        <f t="shared" si="0"/>
        <v>237000000</v>
      </c>
      <c r="F10" s="365">
        <f t="shared" si="0"/>
        <v>191000000</v>
      </c>
      <c r="G10" s="365">
        <f t="shared" si="0"/>
        <v>166000000</v>
      </c>
      <c r="H10" s="365">
        <f t="shared" si="0"/>
        <v>162300000</v>
      </c>
      <c r="I10" s="365">
        <f t="shared" ref="I10:Q10" si="1">SUM(I7:I9)</f>
        <v>231300000</v>
      </c>
      <c r="J10" s="365">
        <f t="shared" si="1"/>
        <v>259000000</v>
      </c>
      <c r="K10" s="365">
        <f t="shared" si="1"/>
        <v>290000000</v>
      </c>
      <c r="L10" s="365">
        <f t="shared" si="1"/>
        <v>0</v>
      </c>
      <c r="M10" s="365">
        <f t="shared" si="1"/>
        <v>11379278.909546301</v>
      </c>
      <c r="N10" s="365">
        <f t="shared" si="1"/>
        <v>9590133.0598073099</v>
      </c>
      <c r="O10" s="365">
        <f t="shared" si="1"/>
        <v>52144870.214709699</v>
      </c>
      <c r="P10" s="200"/>
      <c r="Q10" s="218">
        <f t="shared" si="1"/>
        <v>172711821</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5" customHeight="1" thickBot="1">
      <c r="A11" s="130"/>
      <c r="B11" s="141"/>
      <c r="C11" s="364"/>
      <c r="D11" s="364"/>
      <c r="E11" s="364"/>
      <c r="F11" s="364"/>
      <c r="G11" s="364"/>
      <c r="H11" s="364"/>
      <c r="I11" s="364"/>
      <c r="J11" s="364"/>
      <c r="K11" s="364"/>
      <c r="L11" s="364"/>
      <c r="M11" s="364"/>
      <c r="N11" s="364"/>
      <c r="O11" s="364"/>
      <c r="P11" s="364"/>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0">
        <f>+A10+1</f>
        <v>7</v>
      </c>
      <c r="B12" s="143" t="s">
        <v>128</v>
      </c>
      <c r="C12" s="377">
        <v>4338043700</v>
      </c>
      <c r="D12" s="377">
        <v>4338202930</v>
      </c>
      <c r="E12" s="377">
        <v>4338362159</v>
      </c>
      <c r="F12" s="377">
        <v>4338523810</v>
      </c>
      <c r="G12" s="377">
        <v>4338683040</v>
      </c>
      <c r="H12" s="377">
        <v>4338842269</v>
      </c>
      <c r="I12" s="377">
        <v>4339001498</v>
      </c>
      <c r="J12" s="377">
        <v>4339160728</v>
      </c>
      <c r="K12" s="377">
        <v>4339319957</v>
      </c>
      <c r="L12" s="377">
        <v>4784593561</v>
      </c>
      <c r="M12" s="377">
        <f>'[6]Summary Balance Sheet'!W46*1000000</f>
        <v>4784593561.4099903</v>
      </c>
      <c r="N12" s="377">
        <f>'[6]Summary Balance Sheet'!X46*1000000</f>
        <v>4784593561.4099903</v>
      </c>
      <c r="O12" s="377">
        <f>'[6]Summary Balance Sheet'!Y46*1000000</f>
        <v>4784593561.4099903</v>
      </c>
      <c r="P12" s="377"/>
      <c r="Q12" s="218">
        <f>ROUND(((C12+O12)+(SUM(D12:N12)*2))/24,0)</f>
        <v>4468766309</v>
      </c>
      <c r="R12" s="97"/>
      <c r="S12" s="563"/>
      <c r="T12" s="563"/>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78"/>
      <c r="D13" s="378"/>
      <c r="E13" s="378"/>
      <c r="F13" s="378"/>
      <c r="G13" s="378"/>
      <c r="H13" s="378"/>
      <c r="I13" s="378"/>
      <c r="J13" s="378"/>
      <c r="K13" s="378"/>
      <c r="L13" s="378"/>
      <c r="M13" s="378"/>
      <c r="N13" s="378"/>
      <c r="O13" s="378"/>
      <c r="P13" s="378"/>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78"/>
      <c r="D14" s="378">
        <v>0</v>
      </c>
      <c r="E14" s="378">
        <v>0</v>
      </c>
      <c r="F14" s="378">
        <v>0</v>
      </c>
      <c r="G14" s="378"/>
      <c r="H14" s="378"/>
      <c r="I14" s="378"/>
      <c r="J14" s="378"/>
      <c r="K14" s="378"/>
      <c r="L14" s="378"/>
      <c r="M14" s="378"/>
      <c r="N14" s="378"/>
      <c r="O14" s="378"/>
      <c r="P14" s="378"/>
      <c r="Q14" s="246">
        <f>ROUND(((C14+O14)+(SUM(D14:N14)*2))/24,0)</f>
        <v>0</v>
      </c>
      <c r="R14" s="97"/>
      <c r="S14" s="563"/>
      <c r="T14" s="563"/>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7">
        <f>SUM(C12:C14)</f>
        <v>4338043700</v>
      </c>
      <c r="D16" s="307">
        <f>SUM(D12:D14)</f>
        <v>4338202930</v>
      </c>
      <c r="E16" s="307">
        <f>SUM(E12:E14)</f>
        <v>4338362159</v>
      </c>
      <c r="F16" s="307">
        <f>SUM(F12:F14)</f>
        <v>4338523810</v>
      </c>
      <c r="G16" s="307">
        <f t="shared" ref="G16:O16" si="2">SUM(G12:G14)</f>
        <v>4338683040</v>
      </c>
      <c r="H16" s="307">
        <f t="shared" si="2"/>
        <v>4338842269</v>
      </c>
      <c r="I16" s="307">
        <f t="shared" si="2"/>
        <v>4339001498</v>
      </c>
      <c r="J16" s="307">
        <f t="shared" si="2"/>
        <v>4339160728</v>
      </c>
      <c r="K16" s="307">
        <f t="shared" si="2"/>
        <v>4339319957</v>
      </c>
      <c r="L16" s="307">
        <f t="shared" si="2"/>
        <v>4784593561</v>
      </c>
      <c r="M16" s="307">
        <f t="shared" si="2"/>
        <v>4784593561.4099903</v>
      </c>
      <c r="N16" s="307">
        <f t="shared" si="2"/>
        <v>4784593561.4099903</v>
      </c>
      <c r="O16" s="307">
        <f t="shared" si="2"/>
        <v>4784593561.4099903</v>
      </c>
      <c r="P16" s="98"/>
      <c r="Q16" s="218">
        <f>SUM(Q12:Q14)</f>
        <v>4468766309</v>
      </c>
      <c r="R16" s="97"/>
      <c r="S16" s="269"/>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0">
        <f>+A16+1</f>
        <v>10</v>
      </c>
      <c r="B18" s="143" t="s">
        <v>82</v>
      </c>
      <c r="C18" s="306">
        <v>0</v>
      </c>
      <c r="D18" s="306">
        <v>0</v>
      </c>
      <c r="E18" s="306">
        <v>0</v>
      </c>
      <c r="F18" s="306">
        <v>0</v>
      </c>
      <c r="G18" s="306">
        <v>0</v>
      </c>
      <c r="H18" s="306">
        <v>0</v>
      </c>
      <c r="I18" s="306">
        <v>0</v>
      </c>
      <c r="J18" s="306">
        <v>0</v>
      </c>
      <c r="K18" s="306">
        <v>0</v>
      </c>
      <c r="L18" s="306">
        <v>0</v>
      </c>
      <c r="M18" s="306">
        <v>0</v>
      </c>
      <c r="N18" s="306">
        <v>0</v>
      </c>
      <c r="O18" s="306">
        <v>0</v>
      </c>
      <c r="P18" s="306"/>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5"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0">
        <f>+A18+1</f>
        <v>11</v>
      </c>
      <c r="B20" s="143" t="s">
        <v>103</v>
      </c>
      <c r="C20" s="319">
        <v>4367047000</v>
      </c>
      <c r="D20" s="319">
        <v>4436907000</v>
      </c>
      <c r="E20" s="319">
        <v>4497542000</v>
      </c>
      <c r="F20" s="319">
        <v>4503828000</v>
      </c>
      <c r="G20" s="319">
        <v>4535133000</v>
      </c>
      <c r="H20" s="319">
        <v>4525242000</v>
      </c>
      <c r="I20" s="319">
        <v>4489506000</v>
      </c>
      <c r="J20" s="319">
        <v>4472849000</v>
      </c>
      <c r="K20" s="319">
        <v>4469294000</v>
      </c>
      <c r="L20" s="319">
        <v>4410305000</v>
      </c>
      <c r="M20" s="319">
        <f>M44</f>
        <v>4397777894.0559902</v>
      </c>
      <c r="N20" s="319">
        <f t="shared" ref="N20:O20" si="3">N44</f>
        <v>4401102651.6398602</v>
      </c>
      <c r="O20" s="319">
        <f t="shared" si="3"/>
        <v>4407963501.3624306</v>
      </c>
      <c r="P20" s="275"/>
      <c r="Q20" s="217">
        <f>ROUND(((C20+O20)+(SUM(D20:N20)*2))/24,0)</f>
        <v>4460582650</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5"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0">
        <f>+A20+1</f>
        <v>12</v>
      </c>
      <c r="B22" s="143" t="s">
        <v>86</v>
      </c>
      <c r="C22" s="308">
        <f t="shared" ref="C22" si="4">C10+C16+C18+C20-1000</f>
        <v>9078889700</v>
      </c>
      <c r="D22" s="308">
        <f>D10+D16+D18+D20</f>
        <v>9077109930</v>
      </c>
      <c r="E22" s="308">
        <f>E10+E16+E18+E20</f>
        <v>9072904159</v>
      </c>
      <c r="F22" s="308">
        <f>F10+F16+F18+F20</f>
        <v>9033351810</v>
      </c>
      <c r="G22" s="308">
        <f>G10+G16+G18+G20</f>
        <v>9039816040</v>
      </c>
      <c r="H22" s="308">
        <f t="shared" ref="H22" si="5">H10+H16+H18+H20</f>
        <v>9026384269</v>
      </c>
      <c r="I22" s="308">
        <f>I10+I16+I18+I20</f>
        <v>9059807498</v>
      </c>
      <c r="J22" s="308">
        <f>J10+J16+J18+J20</f>
        <v>9071009728</v>
      </c>
      <c r="K22" s="308">
        <f t="shared" ref="K22:O22" si="6">K10+K16+K18+K20</f>
        <v>9098613957</v>
      </c>
      <c r="L22" s="308">
        <f>L10+L16+L18+L20</f>
        <v>9194898561</v>
      </c>
      <c r="M22" s="308">
        <f t="shared" si="6"/>
        <v>9193750734.3755264</v>
      </c>
      <c r="N22" s="308">
        <f t="shared" si="6"/>
        <v>9195286346.1096573</v>
      </c>
      <c r="O22" s="308">
        <f t="shared" si="6"/>
        <v>9244701932.9871292</v>
      </c>
      <c r="P22" s="308"/>
      <c r="Q22" s="247">
        <f>Q10+Q16+Q18+Q20</f>
        <v>9102060780</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09">
        <f t="shared" ref="C24:H24" si="7">C10/C$22</f>
        <v>4.1172435435579746E-2</v>
      </c>
      <c r="D24" s="309">
        <f t="shared" si="7"/>
        <v>3.3270501550486345E-2</v>
      </c>
      <c r="E24" s="309">
        <f t="shared" si="7"/>
        <v>2.6121735207012452E-2</v>
      </c>
      <c r="F24" s="309">
        <f t="shared" si="7"/>
        <v>2.1143868191711667E-2</v>
      </c>
      <c r="G24" s="309">
        <f t="shared" si="7"/>
        <v>1.8363205541514539E-2</v>
      </c>
      <c r="H24" s="309">
        <f t="shared" si="7"/>
        <v>1.7980621604754769E-2</v>
      </c>
      <c r="I24" s="309">
        <f>I10/I$22</f>
        <v>2.5530343779496496E-2</v>
      </c>
      <c r="J24" s="309">
        <f>J10/J$22</f>
        <v>2.8552499420271816E-2</v>
      </c>
      <c r="K24" s="309">
        <f>K10/K$22</f>
        <v>3.1872986519764265E-2</v>
      </c>
      <c r="L24" s="309">
        <f>L10/L$22</f>
        <v>0</v>
      </c>
      <c r="M24" s="309">
        <f t="shared" ref="M24:O24" si="8">M10/M$22</f>
        <v>1.2377188851769782E-3</v>
      </c>
      <c r="N24" s="309">
        <f t="shared" si="8"/>
        <v>1.0429401215835659E-3</v>
      </c>
      <c r="O24" s="309">
        <f t="shared" si="8"/>
        <v>5.640513949794891E-3</v>
      </c>
      <c r="P24" s="309"/>
      <c r="Q24" s="310">
        <f>Q10/Q$22</f>
        <v>1.8975023917605614E-2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1">
        <f t="shared" ref="C25:H25" si="9">C16/C$22</f>
        <v>0.47781654402079582</v>
      </c>
      <c r="D25" s="311">
        <f t="shared" si="9"/>
        <v>0.47792777254599139</v>
      </c>
      <c r="E25" s="311">
        <f t="shared" si="9"/>
        <v>0.47816686729755636</v>
      </c>
      <c r="F25" s="311">
        <f t="shared" si="9"/>
        <v>0.4802784062054592</v>
      </c>
      <c r="G25" s="311">
        <f t="shared" si="9"/>
        <v>0.4799525809819466</v>
      </c>
      <c r="H25" s="311">
        <f t="shared" si="9"/>
        <v>0.48068441800126072</v>
      </c>
      <c r="I25" s="311">
        <f>I16/I$22</f>
        <v>0.47892866365624848</v>
      </c>
      <c r="J25" s="311">
        <f>J16/J$22</f>
        <v>0.47835476513778469</v>
      </c>
      <c r="K25" s="311">
        <f>K16/K$22</f>
        <v>0.47692098791174153</v>
      </c>
      <c r="L25" s="311">
        <f>L16/L$22</f>
        <v>0.52035305547510546</v>
      </c>
      <c r="M25" s="311">
        <f t="shared" ref="M25:O25" si="10">M16/M$22</f>
        <v>0.52041802085413813</v>
      </c>
      <c r="N25" s="311">
        <f t="shared" si="10"/>
        <v>0.5203311111061002</v>
      </c>
      <c r="O25" s="311">
        <f t="shared" si="10"/>
        <v>0.51754979187998573</v>
      </c>
      <c r="P25" s="311"/>
      <c r="Q25" s="312">
        <f>Q16/Q$22</f>
        <v>0.49096203782985504</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09">
        <f t="shared" ref="C26:H26" si="11">SUM(C24:C25)</f>
        <v>0.51898897945637557</v>
      </c>
      <c r="D26" s="309">
        <f t="shared" si="11"/>
        <v>0.51119827409647778</v>
      </c>
      <c r="E26" s="309">
        <f t="shared" si="11"/>
        <v>0.50428860250456886</v>
      </c>
      <c r="F26" s="309">
        <f t="shared" si="11"/>
        <v>0.50142227439717091</v>
      </c>
      <c r="G26" s="309">
        <f t="shared" si="11"/>
        <v>0.49831578652346115</v>
      </c>
      <c r="H26" s="309">
        <f t="shared" si="11"/>
        <v>0.49866503960601549</v>
      </c>
      <c r="I26" s="309">
        <f>SUM(I24:I25)</f>
        <v>0.50445900743574501</v>
      </c>
      <c r="J26" s="309">
        <f>SUM(J24:J25)</f>
        <v>0.50690726455805646</v>
      </c>
      <c r="K26" s="309">
        <f>SUM(K24:K25)</f>
        <v>0.50879397443150576</v>
      </c>
      <c r="L26" s="309">
        <f>SUM(L24:L25)</f>
        <v>0.52035305547510546</v>
      </c>
      <c r="M26" s="309">
        <f t="shared" ref="M26:O26" si="12">SUM(M24:M25)</f>
        <v>0.52165573973931512</v>
      </c>
      <c r="N26" s="309">
        <f t="shared" si="12"/>
        <v>0.52137405122768377</v>
      </c>
      <c r="O26" s="309">
        <f t="shared" si="12"/>
        <v>0.52319030582978066</v>
      </c>
      <c r="P26" s="309"/>
      <c r="Q26" s="310">
        <f>SUM(Q24:Q25)</f>
        <v>0.50993706174746067</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09">
        <f>C18/C$22</f>
        <v>0</v>
      </c>
      <c r="D27" s="309">
        <f>D18/D$22</f>
        <v>0</v>
      </c>
      <c r="E27" s="309">
        <f>E18/E$22</f>
        <v>0</v>
      </c>
      <c r="F27" s="309">
        <f>F18/F$22</f>
        <v>0</v>
      </c>
      <c r="G27" s="309">
        <f t="shared" ref="G27:O27" si="13">G18/G$22</f>
        <v>0</v>
      </c>
      <c r="H27" s="309">
        <f t="shared" si="13"/>
        <v>0</v>
      </c>
      <c r="I27" s="309">
        <f t="shared" si="13"/>
        <v>0</v>
      </c>
      <c r="J27" s="309">
        <f t="shared" si="13"/>
        <v>0</v>
      </c>
      <c r="K27" s="309">
        <f t="shared" si="13"/>
        <v>0</v>
      </c>
      <c r="L27" s="309">
        <f t="shared" si="13"/>
        <v>0</v>
      </c>
      <c r="M27" s="309">
        <f t="shared" si="13"/>
        <v>0</v>
      </c>
      <c r="N27" s="309">
        <f t="shared" si="13"/>
        <v>0</v>
      </c>
      <c r="O27" s="309">
        <f t="shared" si="13"/>
        <v>0</v>
      </c>
      <c r="P27" s="309"/>
      <c r="Q27" s="310">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1">
        <f>C20/C$22</f>
        <v>0.48101113068925155</v>
      </c>
      <c r="D28" s="341">
        <f>D20/D$22</f>
        <v>0.48880172590352222</v>
      </c>
      <c r="E28" s="341">
        <f>E20/E$22</f>
        <v>0.49571139749543119</v>
      </c>
      <c r="F28" s="341">
        <f>F20/F$22</f>
        <v>0.49857772560282915</v>
      </c>
      <c r="G28" s="341">
        <f t="shared" ref="G28:O28" si="14">G20/G$22</f>
        <v>0.5016842134765388</v>
      </c>
      <c r="H28" s="341">
        <f t="shared" si="14"/>
        <v>0.50133496039398451</v>
      </c>
      <c r="I28" s="341">
        <f t="shared" si="14"/>
        <v>0.49554099256425505</v>
      </c>
      <c r="J28" s="341">
        <f t="shared" si="14"/>
        <v>0.49309273544194354</v>
      </c>
      <c r="K28" s="341">
        <f t="shared" si="14"/>
        <v>0.49120602556849419</v>
      </c>
      <c r="L28" s="341">
        <f t="shared" si="14"/>
        <v>0.47964694452489459</v>
      </c>
      <c r="M28" s="341">
        <f t="shared" si="14"/>
        <v>0.47834426026068494</v>
      </c>
      <c r="N28" s="341">
        <f t="shared" si="14"/>
        <v>0.47862594877231629</v>
      </c>
      <c r="O28" s="341">
        <f t="shared" si="14"/>
        <v>0.47680969417021957</v>
      </c>
      <c r="P28" s="341"/>
      <c r="Q28" s="312">
        <f>Q20/Q$22</f>
        <v>0.49006293825253933</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5"/>
      <c r="D29" s="313"/>
      <c r="E29" s="313"/>
      <c r="F29" s="315"/>
      <c r="G29" s="315"/>
      <c r="H29" s="315"/>
      <c r="I29" s="315"/>
      <c r="J29" s="315"/>
      <c r="K29" s="315"/>
      <c r="L29" s="315"/>
      <c r="M29" s="315"/>
      <c r="N29" s="315"/>
      <c r="O29" s="315"/>
      <c r="P29" s="315"/>
      <c r="Q29" s="316"/>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0">
        <f>+A28+1</f>
        <v>18</v>
      </c>
      <c r="B30" s="129" t="s">
        <v>112</v>
      </c>
      <c r="C30" s="317">
        <f>SUM(C26:C28)</f>
        <v>1.0000001101456271</v>
      </c>
      <c r="D30" s="317">
        <f>SUM(D26:D28)</f>
        <v>1</v>
      </c>
      <c r="E30" s="317">
        <f>SUM(E26:E28)</f>
        <v>1</v>
      </c>
      <c r="F30" s="317">
        <f>SUM(F26:F28)</f>
        <v>1</v>
      </c>
      <c r="G30" s="317">
        <f t="shared" ref="G30:O30" si="15">SUM(G26:G28)</f>
        <v>1</v>
      </c>
      <c r="H30" s="317">
        <f t="shared" si="15"/>
        <v>1</v>
      </c>
      <c r="I30" s="317">
        <f t="shared" si="15"/>
        <v>1</v>
      </c>
      <c r="J30" s="317">
        <f t="shared" si="15"/>
        <v>1</v>
      </c>
      <c r="K30" s="317">
        <f t="shared" si="15"/>
        <v>1</v>
      </c>
      <c r="L30" s="317">
        <f t="shared" si="15"/>
        <v>1</v>
      </c>
      <c r="M30" s="317">
        <f t="shared" si="15"/>
        <v>1</v>
      </c>
      <c r="N30" s="317">
        <f t="shared" si="15"/>
        <v>1</v>
      </c>
      <c r="O30" s="317">
        <f t="shared" si="15"/>
        <v>1.0000000000000002</v>
      </c>
      <c r="P30" s="317"/>
      <c r="Q30" s="318">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40"/>
      <c r="D32" s="340"/>
      <c r="E32" s="340"/>
      <c r="F32" s="340"/>
      <c r="G32" s="340"/>
      <c r="H32" s="340"/>
      <c r="I32" s="340"/>
      <c r="J32" s="340"/>
      <c r="K32" s="340"/>
      <c r="L32" s="340"/>
      <c r="M32" s="340"/>
      <c r="N32" s="340"/>
      <c r="O32" s="340"/>
      <c r="P32" s="340"/>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5" thickBot="1">
      <c r="A33" s="130"/>
      <c r="B33" s="143"/>
      <c r="C33" s="342"/>
      <c r="D33" s="342"/>
      <c r="E33" s="342"/>
      <c r="F33" s="342"/>
      <c r="G33" s="342"/>
      <c r="H33" s="342"/>
      <c r="I33" s="342"/>
      <c r="J33" s="342"/>
      <c r="K33" s="342"/>
      <c r="L33" s="342"/>
      <c r="M33" s="342"/>
      <c r="N33" s="342"/>
      <c r="O33" s="342"/>
      <c r="P33" s="342"/>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5" thickBot="1">
      <c r="A34" s="130">
        <f>+A30+1</f>
        <v>19</v>
      </c>
      <c r="B34" s="143" t="s">
        <v>81</v>
      </c>
      <c r="C34" s="319">
        <v>4181410458</v>
      </c>
      <c r="D34" s="319">
        <v>4244983653</v>
      </c>
      <c r="E34" s="319">
        <v>4318539095</v>
      </c>
      <c r="F34" s="319">
        <v>4333382406</v>
      </c>
      <c r="G34" s="319">
        <v>4388479000</v>
      </c>
      <c r="H34" s="319">
        <v>4379142000</v>
      </c>
      <c r="I34" s="319">
        <v>4371678995</v>
      </c>
      <c r="J34" s="319">
        <v>4373430127</v>
      </c>
      <c r="K34" s="319">
        <v>4369218928</v>
      </c>
      <c r="L34" s="319">
        <v>4375486371</v>
      </c>
      <c r="M34" s="319">
        <f>'[6]Summary Balance Sheet'!W43*1000000</f>
        <v>4362958901.0559902</v>
      </c>
      <c r="N34" s="319">
        <f>'[6]Summary Balance Sheet'!X43*1000000</f>
        <v>4366283658.6398602</v>
      </c>
      <c r="O34" s="319">
        <f>'[6]Summary Balance Sheet'!Y43*1000000</f>
        <v>4373144508.3624306</v>
      </c>
      <c r="P34" s="319"/>
      <c r="Q34" s="218">
        <f>ROUND(((C34+O34)+(SUM(D34:N34)*2))/24,0)</f>
        <v>4346738385</v>
      </c>
      <c r="R34" s="90"/>
      <c r="S34" s="563"/>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5" thickBot="1">
      <c r="A35" s="130">
        <f>+A34+1</f>
        <v>20</v>
      </c>
      <c r="B35" s="141" t="s">
        <v>32</v>
      </c>
      <c r="P35" s="379"/>
      <c r="Q35" s="177"/>
      <c r="R35" s="90"/>
      <c r="S35" s="563"/>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5" thickBot="1">
      <c r="A36" s="130">
        <f>+A35+1</f>
        <v>21</v>
      </c>
      <c r="B36" s="141" t="s">
        <v>33</v>
      </c>
      <c r="C36" s="199">
        <v>-20759387</v>
      </c>
      <c r="D36" s="199">
        <v>-20793161</v>
      </c>
      <c r="E36" s="199">
        <v>-20793161</v>
      </c>
      <c r="F36" s="199">
        <v>-21156233</v>
      </c>
      <c r="G36" s="199">
        <v>-21156000</v>
      </c>
      <c r="H36" s="199">
        <v>-21156000</v>
      </c>
      <c r="I36" s="199">
        <v>-21439000</v>
      </c>
      <c r="J36" s="199">
        <v>-21439016</v>
      </c>
      <c r="K36" s="199">
        <v>-21439016</v>
      </c>
      <c r="L36" s="199">
        <v>-13430369</v>
      </c>
      <c r="M36" s="199">
        <f>L36</f>
        <v>-13430369</v>
      </c>
      <c r="N36" s="199">
        <f>M36</f>
        <v>-13430369</v>
      </c>
      <c r="O36" s="199">
        <f>N36</f>
        <v>-13430369</v>
      </c>
      <c r="P36" s="199"/>
      <c r="Q36" s="218">
        <f>ROUND(((C36+O36)+(SUM(D36:N36)*2))/24,0)</f>
        <v>-18896464</v>
      </c>
      <c r="R36" s="98"/>
      <c r="S36" s="563"/>
      <c r="T36" s="563"/>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5" thickBot="1">
      <c r="A37" s="130">
        <f>+A36+1</f>
        <v>22</v>
      </c>
      <c r="B37" s="141" t="s">
        <v>3</v>
      </c>
      <c r="C37" s="306"/>
      <c r="D37" s="306"/>
      <c r="E37" s="306"/>
      <c r="F37" s="306"/>
      <c r="G37" s="306"/>
      <c r="H37" s="306"/>
      <c r="I37" s="306"/>
      <c r="J37" s="306"/>
      <c r="K37" s="306"/>
      <c r="L37" s="306"/>
      <c r="M37" s="306"/>
      <c r="N37" s="306"/>
      <c r="O37" s="306"/>
      <c r="P37" s="306"/>
      <c r="R37" s="98"/>
      <c r="S37" s="563"/>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5" thickBot="1">
      <c r="A38" s="130">
        <f t="shared" ref="A38:A44" si="16">+A37+1</f>
        <v>23</v>
      </c>
      <c r="B38" s="228" t="s">
        <v>34</v>
      </c>
      <c r="C38" s="320">
        <f t="shared" ref="C38:H38" si="17">SUM(C36:C37)</f>
        <v>-20759387</v>
      </c>
      <c r="D38" s="320">
        <f t="shared" si="17"/>
        <v>-20793161</v>
      </c>
      <c r="E38" s="320">
        <f t="shared" si="17"/>
        <v>-20793161</v>
      </c>
      <c r="F38" s="320">
        <f t="shared" si="17"/>
        <v>-21156233</v>
      </c>
      <c r="G38" s="320">
        <f t="shared" si="17"/>
        <v>-21156000</v>
      </c>
      <c r="H38" s="320">
        <f t="shared" si="17"/>
        <v>-21156000</v>
      </c>
      <c r="I38" s="320">
        <f>SUM(I36:I37)</f>
        <v>-21439000</v>
      </c>
      <c r="J38" s="320">
        <f>SUM(J36:J37)</f>
        <v>-21439016</v>
      </c>
      <c r="K38" s="320">
        <f>SUM(K36:K37)</f>
        <v>-21439016</v>
      </c>
      <c r="L38" s="320">
        <f>SUM(L36:L37)</f>
        <v>-13430369</v>
      </c>
      <c r="M38" s="320">
        <f>SUM(M36:M37)</f>
        <v>-13430369</v>
      </c>
      <c r="N38" s="320">
        <f t="shared" ref="N38:O38" si="18">SUM(N36:N37)</f>
        <v>-13430369</v>
      </c>
      <c r="O38" s="320">
        <f t="shared" si="18"/>
        <v>-13430369</v>
      </c>
      <c r="P38" s="200"/>
      <c r="Q38" s="218">
        <f>ROUND(((C38+O38)+(SUM(D38:N38)*2))/24,0)</f>
        <v>-18896464</v>
      </c>
      <c r="R38" s="98"/>
      <c r="S38" s="563"/>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5" thickBot="1">
      <c r="A39" s="130">
        <f t="shared" si="16"/>
        <v>24</v>
      </c>
      <c r="B39" s="229" t="s">
        <v>169</v>
      </c>
      <c r="C39" s="200"/>
      <c r="D39" s="200"/>
      <c r="E39" s="200"/>
      <c r="F39" s="200"/>
      <c r="G39" s="200"/>
      <c r="H39" s="200"/>
      <c r="I39" s="200"/>
      <c r="J39" s="200"/>
      <c r="K39" s="200"/>
      <c r="L39" s="200"/>
      <c r="M39" s="200"/>
      <c r="N39" s="200"/>
      <c r="O39" s="200"/>
      <c r="P39" s="200"/>
      <c r="Q39" s="97"/>
      <c r="R39" s="98"/>
      <c r="S39" s="563"/>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s="2" customFormat="1" ht="13.5" thickBot="1">
      <c r="A40" s="196">
        <f t="shared" si="16"/>
        <v>25</v>
      </c>
      <c r="B40" s="610" t="s">
        <v>170</v>
      </c>
      <c r="C40" s="319">
        <f>-13411000+21485000+8003000</f>
        <v>16077000</v>
      </c>
      <c r="D40" s="319">
        <f>-13180000+21485000</f>
        <v>8305000</v>
      </c>
      <c r="E40" s="319">
        <f>-2471000+21485000+695000</f>
        <v>19709000</v>
      </c>
      <c r="F40" s="319">
        <f>4761000+21485000+864000</f>
        <v>27110000</v>
      </c>
      <c r="G40" s="319">
        <f>26545000+21485000+1356000</f>
        <v>49386000</v>
      </c>
      <c r="H40" s="319">
        <f>25507000+21485000+1430000</f>
        <v>48422000</v>
      </c>
      <c r="I40" s="319">
        <f>53169000+21485000+803000</f>
        <v>75457000</v>
      </c>
      <c r="J40" s="319">
        <f>70297000+21485000+1347000</f>
        <v>93129000</v>
      </c>
      <c r="K40" s="319">
        <f>67546000+21485000+1886000</f>
        <v>90917000</v>
      </c>
      <c r="L40" s="319">
        <f>123097000+21485000+2022000</f>
        <v>146604000</v>
      </c>
      <c r="M40" s="319">
        <f t="shared" ref="M40:O42" si="19">L40</f>
        <v>146604000</v>
      </c>
      <c r="N40" s="319">
        <f t="shared" si="19"/>
        <v>146604000</v>
      </c>
      <c r="O40" s="319">
        <f t="shared" si="19"/>
        <v>146604000</v>
      </c>
      <c r="P40" s="200"/>
      <c r="Q40" s="611">
        <f>ROUND(((C40+O40)+(SUM(D40:N40)*2))/24,0)</f>
        <v>77798958</v>
      </c>
      <c r="R40" s="98"/>
      <c r="S40" s="612"/>
      <c r="T40" s="91"/>
      <c r="U40" s="225"/>
      <c r="V40" s="91"/>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613"/>
    </row>
    <row r="41" spans="1:54" ht="13.5" thickBot="1">
      <c r="A41" s="130">
        <f t="shared" si="16"/>
        <v>26</v>
      </c>
      <c r="B41" s="231" t="s">
        <v>118</v>
      </c>
      <c r="C41" s="199">
        <v>-4968234</v>
      </c>
      <c r="D41" s="199">
        <v>-4936132</v>
      </c>
      <c r="E41" s="199">
        <v>-4904028</v>
      </c>
      <c r="F41" s="199">
        <v>-4871925</v>
      </c>
      <c r="G41" s="199">
        <v>-4839822</v>
      </c>
      <c r="H41" s="199">
        <v>-4807719</v>
      </c>
      <c r="I41" s="199">
        <v>-4775615</v>
      </c>
      <c r="J41" s="199">
        <v>-4743512</v>
      </c>
      <c r="K41" s="199">
        <v>-4711409</v>
      </c>
      <c r="L41" s="199">
        <v>-4679306</v>
      </c>
      <c r="M41" s="199">
        <f t="shared" si="19"/>
        <v>-4679306</v>
      </c>
      <c r="N41" s="199">
        <f t="shared" si="19"/>
        <v>-4679306</v>
      </c>
      <c r="O41" s="199">
        <f t="shared" si="19"/>
        <v>-4679306</v>
      </c>
      <c r="P41" s="199"/>
      <c r="Q41" s="218">
        <f>ROUND(((C41+O41)+(SUM(D41:N41)*2))/24,0)</f>
        <v>-4787654</v>
      </c>
      <c r="R41" s="98"/>
      <c r="S41" s="563"/>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5" thickBot="1">
      <c r="A42" s="130">
        <f t="shared" si="16"/>
        <v>27</v>
      </c>
      <c r="B42" s="231" t="s">
        <v>119</v>
      </c>
      <c r="C42" s="199">
        <f>-175986902+1000</f>
        <v>-175985902</v>
      </c>
      <c r="D42" s="199">
        <f>-174500905+2000</f>
        <v>-174498905</v>
      </c>
      <c r="E42" s="199">
        <v>-173014906</v>
      </c>
      <c r="F42" s="199">
        <f>-171528908+1000</f>
        <v>-171527908</v>
      </c>
      <c r="G42" s="199">
        <f>-170042910-1000</f>
        <v>-170043910</v>
      </c>
      <c r="H42" s="199">
        <f>-168556911-1000</f>
        <v>-168557911</v>
      </c>
      <c r="I42" s="199">
        <f>-167070913+2000</f>
        <v>-167068913</v>
      </c>
      <c r="J42" s="199">
        <f>-166366559+1000</f>
        <v>-166365559</v>
      </c>
      <c r="K42" s="199">
        <f>-164839938-2000</f>
        <v>-164841938</v>
      </c>
      <c r="L42" s="199">
        <v>-163313318</v>
      </c>
      <c r="M42" s="199">
        <f t="shared" si="19"/>
        <v>-163313318</v>
      </c>
      <c r="N42" s="199">
        <f t="shared" si="19"/>
        <v>-163313318</v>
      </c>
      <c r="O42" s="199">
        <f t="shared" si="19"/>
        <v>-163313318</v>
      </c>
      <c r="P42" s="199"/>
      <c r="Q42" s="218">
        <f>ROUND(((C42+O42)+(SUM(D42:N42)*2))/24,0)</f>
        <v>-167959126</v>
      </c>
      <c r="R42" s="98"/>
      <c r="S42" s="563"/>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5" thickBot="1">
      <c r="A43" s="130">
        <f t="shared" si="16"/>
        <v>28</v>
      </c>
      <c r="B43" s="232" t="s">
        <v>120</v>
      </c>
      <c r="C43" s="230">
        <f t="shared" ref="C43:H43" si="20">SUM(C40:C42)</f>
        <v>-164877136</v>
      </c>
      <c r="D43" s="230">
        <f t="shared" si="20"/>
        <v>-171130037</v>
      </c>
      <c r="E43" s="230">
        <f t="shared" si="20"/>
        <v>-158209934</v>
      </c>
      <c r="F43" s="230">
        <f t="shared" si="20"/>
        <v>-149289833</v>
      </c>
      <c r="G43" s="230">
        <f t="shared" si="20"/>
        <v>-125497732</v>
      </c>
      <c r="H43" s="230">
        <f t="shared" si="20"/>
        <v>-124943630</v>
      </c>
      <c r="I43" s="230">
        <f>SUM(I40:I42)</f>
        <v>-96387528</v>
      </c>
      <c r="J43" s="230">
        <f>SUM(J40:J42)</f>
        <v>-77980071</v>
      </c>
      <c r="K43" s="230">
        <f>SUM(K40:K42)</f>
        <v>-78636347</v>
      </c>
      <c r="L43" s="230">
        <f>SUM(L40:L42)</f>
        <v>-21388624</v>
      </c>
      <c r="M43" s="230">
        <f t="shared" ref="M43:O43" si="21">SUM(M40:M42)</f>
        <v>-21388624</v>
      </c>
      <c r="N43" s="230">
        <f t="shared" si="21"/>
        <v>-21388624</v>
      </c>
      <c r="O43" s="230">
        <f t="shared" si="21"/>
        <v>-21388624</v>
      </c>
      <c r="P43" s="275"/>
      <c r="Q43" s="218">
        <f>ROUND(((C43+O43)+(SUM(D43:N43)*2))/24,0)</f>
        <v>-94947822</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0">
        <f t="shared" si="16"/>
        <v>29</v>
      </c>
      <c r="B44" s="622" t="s">
        <v>103</v>
      </c>
      <c r="C44" s="307">
        <f t="shared" ref="C44:O44" si="22">+C34-C38-C43</f>
        <v>4367046981</v>
      </c>
      <c r="D44" s="307">
        <f t="shared" si="22"/>
        <v>4436906851</v>
      </c>
      <c r="E44" s="307">
        <f t="shared" si="22"/>
        <v>4497542190</v>
      </c>
      <c r="F44" s="307">
        <f t="shared" si="22"/>
        <v>4503828472</v>
      </c>
      <c r="G44" s="307">
        <f t="shared" si="22"/>
        <v>4535132732</v>
      </c>
      <c r="H44" s="307">
        <f t="shared" si="22"/>
        <v>4525241630</v>
      </c>
      <c r="I44" s="307">
        <f t="shared" si="22"/>
        <v>4489505523</v>
      </c>
      <c r="J44" s="307">
        <f t="shared" si="22"/>
        <v>4472849214</v>
      </c>
      <c r="K44" s="307">
        <f t="shared" si="22"/>
        <v>4469294291</v>
      </c>
      <c r="L44" s="307">
        <f t="shared" si="22"/>
        <v>4410305364</v>
      </c>
      <c r="M44" s="307">
        <f t="shared" si="22"/>
        <v>4397777894.0559902</v>
      </c>
      <c r="N44" s="307">
        <f t="shared" si="22"/>
        <v>4401102651.6398602</v>
      </c>
      <c r="O44" s="307">
        <f t="shared" si="22"/>
        <v>4407963501.3624306</v>
      </c>
      <c r="P44" s="98"/>
      <c r="Q44" s="218">
        <f>ROUND(((C44+O44)+(SUM(D44:N44)*2))/24,0)</f>
        <v>4460582671</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c r="B45" s="624"/>
      <c r="C45" s="98"/>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B46" s="629" t="s">
        <v>314</v>
      </c>
      <c r="C46" s="628">
        <f t="shared" ref="C46:J46" si="23">MROUND(C20,1000)-MROUND(C44,1000)</f>
        <v>0</v>
      </c>
      <c r="D46" s="628">
        <f t="shared" si="23"/>
        <v>0</v>
      </c>
      <c r="E46" s="628">
        <f t="shared" si="23"/>
        <v>0</v>
      </c>
      <c r="F46" s="628">
        <f t="shared" si="23"/>
        <v>0</v>
      </c>
      <c r="G46" s="628">
        <f t="shared" si="23"/>
        <v>0</v>
      </c>
      <c r="H46" s="628">
        <f t="shared" si="23"/>
        <v>0</v>
      </c>
      <c r="I46" s="628">
        <f t="shared" si="23"/>
        <v>0</v>
      </c>
      <c r="J46" s="628">
        <f t="shared" si="23"/>
        <v>0</v>
      </c>
      <c r="K46" s="628">
        <f>MROUND(K20,1000)-MROUND(K44,1000)</f>
        <v>0</v>
      </c>
      <c r="L46" s="628">
        <f t="shared" ref="L46:O46" si="24">MROUND(L20,1000)-MROUND(L44,1000)</f>
        <v>0</v>
      </c>
      <c r="M46" s="628">
        <f t="shared" si="24"/>
        <v>0</v>
      </c>
      <c r="N46" s="628">
        <f t="shared" si="24"/>
        <v>0</v>
      </c>
      <c r="O46" s="628">
        <f t="shared" si="24"/>
        <v>0</v>
      </c>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B47" s="95"/>
      <c r="C47" s="628"/>
      <c r="D47" s="628"/>
      <c r="E47" s="628"/>
      <c r="F47" s="628"/>
      <c r="G47" s="628"/>
      <c r="H47" s="628"/>
      <c r="I47" s="628"/>
      <c r="J47" s="628"/>
      <c r="K47" s="628"/>
      <c r="L47" s="628"/>
      <c r="M47" s="628"/>
      <c r="N47" s="628"/>
      <c r="O47" s="628"/>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B48" s="95"/>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2:54">
      <c r="B49" s="95"/>
      <c r="C49" s="623"/>
      <c r="D49" s="623"/>
      <c r="E49" s="623"/>
      <c r="F49" s="623"/>
      <c r="G49" s="623"/>
      <c r="H49" s="623"/>
      <c r="I49" s="623"/>
      <c r="J49" s="623"/>
      <c r="K49" s="623"/>
      <c r="L49" s="623"/>
      <c r="M49" s="623"/>
      <c r="N49" s="623"/>
      <c r="O49" s="623"/>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2:54">
      <c r="B50" s="624"/>
      <c r="C50" s="319"/>
      <c r="D50" s="319"/>
      <c r="E50" s="319"/>
      <c r="F50" s="319"/>
      <c r="G50" s="319"/>
      <c r="H50" s="319"/>
      <c r="I50" s="319"/>
      <c r="J50" s="319"/>
      <c r="K50" s="319"/>
      <c r="L50" s="319"/>
      <c r="M50" s="319"/>
      <c r="N50" s="319"/>
      <c r="O50" s="319"/>
      <c r="P50" s="199"/>
      <c r="Q50" s="597"/>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2:54">
      <c r="B51" s="624"/>
      <c r="C51" s="319"/>
      <c r="D51" s="319"/>
      <c r="E51" s="319"/>
      <c r="F51" s="319"/>
      <c r="G51" s="319"/>
      <c r="H51" s="319"/>
      <c r="I51" s="319"/>
      <c r="J51" s="319"/>
      <c r="K51" s="319"/>
      <c r="L51" s="319"/>
      <c r="M51" s="319"/>
      <c r="N51" s="319"/>
      <c r="O51" s="319"/>
      <c r="P51" s="199"/>
      <c r="Q51" s="92"/>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2:54">
      <c r="B52" s="95"/>
      <c r="C52" s="319"/>
      <c r="D52" s="319"/>
      <c r="E52" s="319"/>
      <c r="F52" s="319"/>
      <c r="G52" s="319"/>
      <c r="H52" s="319"/>
      <c r="I52" s="319"/>
      <c r="J52" s="319"/>
      <c r="K52" s="319"/>
      <c r="L52" s="319"/>
      <c r="M52" s="319"/>
      <c r="N52" s="319"/>
      <c r="O52" s="319"/>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2:54">
      <c r="C53" s="98"/>
      <c r="D53" s="98"/>
      <c r="E53" s="98"/>
      <c r="F53" s="98"/>
      <c r="G53" s="98"/>
      <c r="H53" s="98"/>
      <c r="I53" s="98"/>
      <c r="J53" s="98"/>
      <c r="K53" s="98"/>
      <c r="L53" s="98"/>
      <c r="M53" s="98"/>
      <c r="N53" s="98"/>
      <c r="O53" s="98"/>
      <c r="P53" s="98"/>
      <c r="Q53" s="574"/>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2:54">
      <c r="C54" s="621"/>
      <c r="D54" s="621"/>
      <c r="E54" s="621"/>
      <c r="F54" s="621"/>
      <c r="G54" s="225"/>
      <c r="H54" s="225"/>
      <c r="I54" s="225"/>
      <c r="J54" s="225"/>
      <c r="K54" s="225"/>
      <c r="L54" s="225"/>
      <c r="M54" s="225"/>
      <c r="N54" s="225"/>
      <c r="O54" s="225"/>
      <c r="P54" s="225"/>
      <c r="Q54" s="574"/>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2: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2:54">
      <c r="C56" s="91"/>
      <c r="D56" s="91"/>
      <c r="E56" s="91"/>
      <c r="F56" s="91"/>
      <c r="G56" s="91"/>
      <c r="H56" s="225"/>
      <c r="I56" s="225"/>
      <c r="J56" s="225"/>
      <c r="K56" s="623"/>
      <c r="L56" s="225"/>
      <c r="M56" s="607"/>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2:54">
      <c r="C57" s="91"/>
      <c r="D57" s="91"/>
      <c r="E57" s="91"/>
      <c r="F57" s="91"/>
      <c r="G57" s="91"/>
      <c r="H57" s="225"/>
      <c r="I57" s="225"/>
      <c r="J57" s="625"/>
      <c r="K57" s="98"/>
      <c r="L57" s="225"/>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2:54">
      <c r="C58" s="91"/>
      <c r="D58" s="91"/>
      <c r="E58" s="91"/>
      <c r="F58" s="91"/>
      <c r="G58" s="91"/>
      <c r="H58" s="225"/>
      <c r="I58" s="225"/>
      <c r="J58" s="625"/>
      <c r="K58" s="98"/>
      <c r="L58" s="225"/>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2:54">
      <c r="C59" s="91"/>
      <c r="D59" s="91"/>
      <c r="E59" s="91"/>
      <c r="F59" s="91"/>
      <c r="G59" s="91"/>
      <c r="H59" s="225"/>
      <c r="I59" s="225"/>
      <c r="J59" s="225"/>
      <c r="K59" s="199"/>
      <c r="L59" s="225"/>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2:54">
      <c r="C60" s="91"/>
      <c r="D60" s="91"/>
      <c r="E60" s="91"/>
      <c r="F60" s="91"/>
      <c r="G60" s="91"/>
      <c r="H60" s="225"/>
      <c r="I60" s="225"/>
      <c r="J60" s="225"/>
      <c r="K60" s="225"/>
      <c r="L60" s="225"/>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2: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2: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2: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2: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5" type="noConversion"/>
  <printOptions horizontalCentered="1"/>
  <pageMargins left="0.2" right="0.2" top="0.28000000000000003" bottom="0.4" header="0.26" footer="0.22"/>
  <pageSetup scale="83" orientation="landscape" r:id="rId1"/>
  <headerFooter alignWithMargins="0">
    <oddFooter>&amp;C&amp;A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106"/>
  <sheetViews>
    <sheetView view="pageLayout" zoomScaleNormal="100" workbookViewId="0">
      <selection activeCell="G38" sqref="G38"/>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6" t="s">
        <v>25</v>
      </c>
      <c r="C2" s="201"/>
      <c r="D2" s="201"/>
      <c r="E2" s="201"/>
      <c r="F2" s="201"/>
    </row>
    <row r="3" spans="1:8" ht="15.75">
      <c r="A3" s="34"/>
      <c r="B3" s="336" t="s">
        <v>37</v>
      </c>
      <c r="C3" s="201"/>
      <c r="D3" s="201"/>
      <c r="E3" s="201"/>
      <c r="F3" s="201"/>
    </row>
    <row r="4" spans="1:8" ht="15.75" customHeight="1">
      <c r="B4" s="337" t="str">
        <f>'1 - Cost of Capital'!B5</f>
        <v>For The 12 Months Ending December 31, 2021</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350">
        <f>'4 - STD OS &amp; Comm Fees'!C11</f>
        <v>172711821</v>
      </c>
      <c r="D13" s="211">
        <f>IF(E13=0,"NA",(E13/C13))</f>
        <v>3.5104949162277567E-3</v>
      </c>
      <c r="E13" s="76">
        <f>'4 - STD OS &amp; Comm Fees'!D11</f>
        <v>606303.96959293832</v>
      </c>
      <c r="F13" s="74"/>
      <c r="G13" s="75"/>
    </row>
    <row r="14" spans="1:8">
      <c r="A14" s="3">
        <f t="shared" si="0"/>
        <v>7</v>
      </c>
      <c r="B14" s="67" t="s">
        <v>115</v>
      </c>
      <c r="C14" s="85">
        <f>'4 - STD OS &amp; Comm Fees'!C12</f>
        <v>0</v>
      </c>
      <c r="D14" s="211" t="str">
        <f>IF(E14=0,"NA",(E14/C14))</f>
        <v>NA</v>
      </c>
      <c r="E14" s="76">
        <f>'4 - STD OS &amp; Comm Fees'!D12</f>
        <v>0</v>
      </c>
      <c r="F14" s="74"/>
      <c r="G14" s="75"/>
    </row>
    <row r="15" spans="1:8">
      <c r="A15" s="3">
        <v>10</v>
      </c>
      <c r="B15" s="67" t="s">
        <v>260</v>
      </c>
      <c r="C15" s="85">
        <f>'4 - STD OS &amp; Comm Fees'!C13</f>
        <v>0</v>
      </c>
      <c r="D15" s="211" t="str">
        <f>IF(E15=0,"NA",(E15/C15))</f>
        <v>NA</v>
      </c>
      <c r="E15" s="76">
        <f>'4 - STD OS &amp; Comm Fees'!D13</f>
        <v>0</v>
      </c>
      <c r="F15" s="74"/>
      <c r="G15" s="75"/>
    </row>
    <row r="16" spans="1:8">
      <c r="A16" s="3">
        <f>A15+1</f>
        <v>11</v>
      </c>
      <c r="B16" s="67" t="s">
        <v>313</v>
      </c>
      <c r="C16" s="85">
        <f>'4 - STD OS &amp; Comm Fees'!C14</f>
        <v>0</v>
      </c>
      <c r="D16" s="211" t="str">
        <f>IF(E16=0,"NA",(E16/C16))</f>
        <v>NA</v>
      </c>
      <c r="E16" s="76">
        <f>'4 - STD OS &amp; Comm Fees'!D14</f>
        <v>0</v>
      </c>
    </row>
    <row r="17" spans="1:7">
      <c r="A17" s="3">
        <f t="shared" si="0"/>
        <v>12</v>
      </c>
      <c r="B17" s="329" t="s">
        <v>157</v>
      </c>
      <c r="C17" s="331">
        <f>SUM(C13:C16)</f>
        <v>172711821</v>
      </c>
      <c r="D17" s="332">
        <f>IF(E17=0,"NA",(E17/C17))</f>
        <v>3.5104949162277567E-3</v>
      </c>
      <c r="E17" s="330">
        <f>SUM(E13:E16)</f>
        <v>606303.96959293832</v>
      </c>
      <c r="F17" s="74">
        <f>E17/C23</f>
        <v>3.5104949162277567E-3</v>
      </c>
      <c r="G17" s="75"/>
    </row>
    <row r="18" spans="1:7">
      <c r="A18" s="3">
        <f t="shared" si="0"/>
        <v>13</v>
      </c>
      <c r="B18" s="67"/>
      <c r="C18" s="86"/>
      <c r="D18" s="212"/>
      <c r="E18" s="77"/>
      <c r="F18" s="67"/>
      <c r="G18" s="75"/>
    </row>
    <row r="19" spans="1:7">
      <c r="A19" s="3">
        <f t="shared" si="0"/>
        <v>14</v>
      </c>
      <c r="B19" s="71" t="s">
        <v>54</v>
      </c>
      <c r="C19" s="87"/>
      <c r="D19" s="88"/>
      <c r="E19" s="350">
        <f>'4 - STD OS &amp; Comm Fees'!F16</f>
        <v>1445631.1810666665</v>
      </c>
      <c r="F19" s="575">
        <f>E19/C23</f>
        <v>8.3701924552498728E-3</v>
      </c>
      <c r="G19" s="191" t="s">
        <v>77</v>
      </c>
    </row>
    <row r="20" spans="1:7">
      <c r="A20" s="3">
        <f t="shared" si="0"/>
        <v>15</v>
      </c>
      <c r="B20" s="71"/>
      <c r="C20" s="78"/>
      <c r="D20" s="79"/>
      <c r="E20" s="83"/>
      <c r="F20" s="74"/>
      <c r="G20" s="75"/>
    </row>
    <row r="21" spans="1:7">
      <c r="A21" s="3">
        <f t="shared" si="0"/>
        <v>16</v>
      </c>
      <c r="B21" s="71" t="s">
        <v>55</v>
      </c>
      <c r="C21" s="78"/>
      <c r="D21" s="79"/>
      <c r="E21" s="350">
        <f>-'5 - STD Amort'!G27</f>
        <v>712409.67999999993</v>
      </c>
      <c r="F21" s="575">
        <f>E21/C23</f>
        <v>4.1248460926134288E-3</v>
      </c>
      <c r="G21" s="191" t="s">
        <v>98</v>
      </c>
    </row>
    <row r="22" spans="1:7" ht="13.5" thickBot="1">
      <c r="A22" s="3">
        <f t="shared" si="0"/>
        <v>17</v>
      </c>
      <c r="B22" s="67"/>
      <c r="C22" s="77"/>
      <c r="D22" s="76"/>
      <c r="E22" s="84"/>
      <c r="G22" s="67"/>
    </row>
    <row r="23" spans="1:7" ht="13.5" thickBot="1">
      <c r="A23" s="3">
        <f t="shared" si="0"/>
        <v>18</v>
      </c>
      <c r="B23" s="80" t="s">
        <v>39</v>
      </c>
      <c r="C23" s="81">
        <f>C17</f>
        <v>172711821</v>
      </c>
      <c r="D23" s="82"/>
      <c r="E23" s="81">
        <f>SUM(E17:E22)</f>
        <v>2764344.8306596046</v>
      </c>
      <c r="F23" s="216">
        <f>E23/C23</f>
        <v>1.6005533464091056E-2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174</v>
      </c>
      <c r="C26" s="132"/>
      <c r="D26" s="132"/>
      <c r="E26" s="132"/>
      <c r="F26" s="71"/>
      <c r="G26" s="10"/>
    </row>
    <row r="27" spans="1:7">
      <c r="A27" s="3">
        <f t="shared" si="0"/>
        <v>22</v>
      </c>
      <c r="B27" s="131" t="s">
        <v>147</v>
      </c>
      <c r="C27" s="132"/>
      <c r="D27" s="132"/>
      <c r="E27" s="132"/>
      <c r="F27" s="71"/>
      <c r="G27" s="10"/>
    </row>
    <row r="28" spans="1:7">
      <c r="A28" s="3">
        <f t="shared" si="0"/>
        <v>23</v>
      </c>
      <c r="B28" s="131" t="s">
        <v>173</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S36"/>
  <sheetViews>
    <sheetView view="pageLayout" topLeftCell="A14" zoomScaleNormal="100" workbookViewId="0">
      <selection activeCell="H44" sqref="H44"/>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str">
        <f>'1 - Cost of Capital'!B5</f>
        <v>For The 12 Months Ending December 31, 2021</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+A5+1</f>
        <v>2</v>
      </c>
      <c r="B6" s="353" t="s">
        <v>121</v>
      </c>
      <c r="C6" s="354"/>
      <c r="D6" s="354"/>
      <c r="E6" s="354"/>
      <c r="F6" s="354"/>
      <c r="G6" s="354"/>
      <c r="H6" s="150"/>
      <c r="I6" s="150"/>
      <c r="J6" s="150"/>
      <c r="K6" s="355"/>
      <c r="M6" s="35"/>
      <c r="N6" s="35"/>
      <c r="O6" s="35"/>
    </row>
    <row r="7" spans="1:15" ht="12">
      <c r="A7" s="192">
        <f>+A6+1</f>
        <v>3</v>
      </c>
      <c r="B7" s="205"/>
      <c r="C7" s="206"/>
      <c r="D7" s="206"/>
      <c r="E7" s="206"/>
      <c r="F7" s="206" t="s">
        <v>2</v>
      </c>
      <c r="G7" s="38" t="s">
        <v>2</v>
      </c>
      <c r="H7" s="38"/>
      <c r="I7" s="38"/>
      <c r="J7" s="38"/>
      <c r="K7" s="356" t="s">
        <v>2</v>
      </c>
      <c r="L7" s="35"/>
      <c r="M7" s="274"/>
      <c r="N7" s="35"/>
      <c r="O7" s="35"/>
    </row>
    <row r="8" spans="1:15" ht="12">
      <c r="A8" s="192">
        <f>A7+1</f>
        <v>4</v>
      </c>
      <c r="B8" s="205"/>
      <c r="C8" s="213" t="s">
        <v>50</v>
      </c>
      <c r="D8" s="213" t="s">
        <v>114</v>
      </c>
      <c r="E8" s="213" t="s">
        <v>50</v>
      </c>
      <c r="F8" s="213" t="s">
        <v>131</v>
      </c>
      <c r="G8" s="38"/>
      <c r="H8" s="38"/>
      <c r="I8" s="38"/>
      <c r="J8" s="38"/>
      <c r="K8" s="356"/>
      <c r="L8" s="204"/>
      <c r="M8" s="35"/>
      <c r="N8" s="35"/>
      <c r="O8" s="35"/>
    </row>
    <row r="9" spans="1:15" ht="12">
      <c r="A9" s="192">
        <f>A8+1</f>
        <v>5</v>
      </c>
      <c r="B9" s="205"/>
      <c r="C9" s="214" t="s">
        <v>151</v>
      </c>
      <c r="D9" s="214" t="s">
        <v>38</v>
      </c>
      <c r="E9" s="214" t="s">
        <v>99</v>
      </c>
      <c r="F9" s="214" t="s">
        <v>152</v>
      </c>
      <c r="G9" s="40"/>
      <c r="H9" s="40"/>
      <c r="I9" s="38"/>
      <c r="J9" s="38"/>
      <c r="K9" s="356"/>
      <c r="L9" s="204"/>
      <c r="M9" s="239"/>
      <c r="N9" s="35"/>
      <c r="O9" s="35"/>
    </row>
    <row r="10" spans="1:15" ht="12">
      <c r="A10" s="192">
        <f>A9+1</f>
        <v>6</v>
      </c>
      <c r="B10" s="205"/>
      <c r="C10" s="89"/>
      <c r="D10" s="89"/>
      <c r="E10" s="89"/>
      <c r="F10" s="328"/>
      <c r="G10" s="38"/>
      <c r="H10" s="38"/>
      <c r="I10" s="38"/>
      <c r="J10" s="38"/>
      <c r="K10" s="356"/>
      <c r="L10" s="35"/>
      <c r="M10" s="35"/>
      <c r="O10" s="35"/>
    </row>
    <row r="11" spans="1:15" ht="12">
      <c r="A11" s="192">
        <f t="shared" ref="A11:A36" si="0">A10+1</f>
        <v>7</v>
      </c>
      <c r="B11" s="205" t="s">
        <v>36</v>
      </c>
      <c r="C11" s="631">
        <f>'2 - CapStructure'!Q7</f>
        <v>172711821</v>
      </c>
      <c r="D11" s="631">
        <f>559998.59+'8 - STD Int - Forecast'!F29</f>
        <v>606303.96959293832</v>
      </c>
      <c r="E11" s="268">
        <f>IF(C11=0,"NA",(D11/C11))</f>
        <v>3.5104949162277567E-3</v>
      </c>
      <c r="F11" s="380">
        <v>0</v>
      </c>
      <c r="G11" s="347"/>
      <c r="I11" s="38"/>
      <c r="J11" s="38"/>
      <c r="K11" s="356"/>
      <c r="L11" s="35"/>
      <c r="M11" s="368"/>
      <c r="O11" s="35"/>
    </row>
    <row r="12" spans="1:15" ht="12">
      <c r="A12" s="192">
        <f t="shared" si="0"/>
        <v>8</v>
      </c>
      <c r="B12" s="205" t="s">
        <v>115</v>
      </c>
      <c r="C12" s="323">
        <v>0</v>
      </c>
      <c r="D12" s="323">
        <v>0</v>
      </c>
      <c r="E12" s="268" t="str">
        <f>IF(C12=0,"NA",(D12/C12))</f>
        <v>NA</v>
      </c>
      <c r="F12" s="380">
        <v>0</v>
      </c>
      <c r="G12" s="347"/>
      <c r="H12" s="324"/>
      <c r="I12" s="38"/>
      <c r="J12" s="38"/>
      <c r="K12" s="356"/>
      <c r="L12" s="35"/>
      <c r="M12" s="368"/>
      <c r="O12" s="35"/>
    </row>
    <row r="13" spans="1:15" ht="12" hidden="1">
      <c r="A13" s="192">
        <v>9</v>
      </c>
      <c r="B13" s="205" t="s">
        <v>260</v>
      </c>
      <c r="C13" s="323">
        <v>0</v>
      </c>
      <c r="D13" s="323">
        <v>0</v>
      </c>
      <c r="E13" s="268" t="str">
        <f>IF(C13=0,"NA",(D13/C13))</f>
        <v>NA</v>
      </c>
      <c r="F13" s="210">
        <f>J26</f>
        <v>0</v>
      </c>
      <c r="G13" s="347"/>
      <c r="H13" s="367"/>
      <c r="I13" s="38"/>
      <c r="J13" s="38"/>
      <c r="K13" s="356"/>
      <c r="L13" s="35"/>
      <c r="M13" s="368"/>
      <c r="O13" s="35"/>
    </row>
    <row r="14" spans="1:15" ht="12">
      <c r="A14" s="192">
        <f>A13+1</f>
        <v>10</v>
      </c>
      <c r="B14" s="205" t="s">
        <v>313</v>
      </c>
      <c r="C14" s="323">
        <v>0</v>
      </c>
      <c r="D14" s="323">
        <v>0</v>
      </c>
      <c r="E14" s="268" t="str">
        <f>IF(C14=0,"NA",(D14/C14))</f>
        <v>NA</v>
      </c>
      <c r="F14" s="210">
        <f>J27</f>
        <v>1419444.4443999999</v>
      </c>
      <c r="G14" s="347"/>
      <c r="H14" s="324"/>
      <c r="I14" s="38"/>
      <c r="J14" s="38"/>
      <c r="K14" s="356"/>
      <c r="L14" s="35"/>
      <c r="M14" s="203"/>
      <c r="N14" s="35"/>
      <c r="O14" s="35"/>
    </row>
    <row r="15" spans="1:15" ht="12">
      <c r="A15" s="192">
        <f t="shared" si="0"/>
        <v>11</v>
      </c>
      <c r="B15" s="205" t="s">
        <v>159</v>
      </c>
      <c r="C15" s="323">
        <v>0</v>
      </c>
      <c r="D15" s="323">
        <v>0</v>
      </c>
      <c r="E15" s="268" t="str">
        <f>IF(C15=0,"NA",(D15/C15))</f>
        <v>NA</v>
      </c>
      <c r="F15" s="210">
        <f>J32</f>
        <v>26186.736666666664</v>
      </c>
      <c r="G15" s="38"/>
      <c r="H15" s="38"/>
      <c r="I15" s="38"/>
      <c r="J15" s="38"/>
      <c r="K15" s="356"/>
      <c r="L15" s="35"/>
      <c r="M15" s="35"/>
      <c r="N15" s="35"/>
      <c r="O15" s="35"/>
    </row>
    <row r="16" spans="1:15" ht="12.75" thickBot="1">
      <c r="A16" s="192">
        <f t="shared" si="0"/>
        <v>12</v>
      </c>
      <c r="B16" s="334" t="s">
        <v>163</v>
      </c>
      <c r="C16" s="372">
        <f>SUM(C10:C15)</f>
        <v>172711821</v>
      </c>
      <c r="D16" s="374">
        <f>SUM(D10:D15)</f>
        <v>606303.96959293832</v>
      </c>
      <c r="E16" s="373">
        <f>D16/C16</f>
        <v>3.5104949162277567E-3</v>
      </c>
      <c r="F16" s="374">
        <f>SUM(F10:F15)</f>
        <v>1445631.1810666665</v>
      </c>
      <c r="G16" s="38"/>
      <c r="H16" s="38"/>
      <c r="I16" s="38"/>
      <c r="J16" s="38"/>
      <c r="K16" s="356"/>
      <c r="L16" s="35"/>
      <c r="M16" s="35"/>
      <c r="N16" s="35"/>
      <c r="O16" s="35"/>
    </row>
    <row r="17" spans="1:15" ht="12.75" thickTop="1">
      <c r="A17" s="192"/>
      <c r="B17" s="334"/>
      <c r="C17" s="524"/>
      <c r="D17" s="595"/>
      <c r="E17" s="596"/>
      <c r="F17" s="595"/>
      <c r="G17" s="38"/>
      <c r="H17" s="38"/>
      <c r="I17" s="38"/>
      <c r="J17" s="38"/>
      <c r="K17" s="356"/>
      <c r="L17" s="35"/>
      <c r="M17" s="35"/>
      <c r="N17" s="35"/>
      <c r="O17" s="35"/>
    </row>
    <row r="18" spans="1:15" ht="12">
      <c r="A18" s="192"/>
      <c r="B18" s="586" t="s">
        <v>308</v>
      </c>
      <c r="C18" s="207"/>
      <c r="D18" s="208"/>
      <c r="E18" s="206"/>
      <c r="F18" s="585">
        <f>'1 - Cost of Capital'!C30</f>
        <v>9102060780</v>
      </c>
      <c r="G18" s="38"/>
      <c r="H18" s="38"/>
      <c r="I18" s="38"/>
      <c r="J18" s="38"/>
      <c r="K18" s="356"/>
      <c r="L18" s="35"/>
      <c r="M18" s="35"/>
      <c r="N18" s="35"/>
      <c r="O18" s="35"/>
    </row>
    <row r="19" spans="1:15" ht="12">
      <c r="A19" s="192"/>
      <c r="B19" s="205"/>
      <c r="C19" s="207"/>
      <c r="D19" s="208"/>
      <c r="E19" s="206"/>
      <c r="F19" s="207"/>
      <c r="G19" s="38"/>
      <c r="H19" s="38"/>
      <c r="I19" s="38"/>
      <c r="J19" s="38"/>
      <c r="K19" s="356"/>
      <c r="L19" s="35"/>
      <c r="M19" s="35"/>
      <c r="N19" s="35"/>
      <c r="O19" s="35"/>
    </row>
    <row r="20" spans="1:15" ht="12">
      <c r="A20" s="192"/>
      <c r="B20" s="586" t="s">
        <v>310</v>
      </c>
      <c r="C20" s="207"/>
      <c r="D20" s="208"/>
      <c r="E20" s="206"/>
      <c r="F20" s="581">
        <f>ROUND(F16/F18,4)</f>
        <v>2.0000000000000001E-4</v>
      </c>
      <c r="G20" s="38"/>
      <c r="H20" s="38"/>
      <c r="I20" s="38"/>
      <c r="J20" s="38"/>
      <c r="K20" s="356"/>
      <c r="L20" s="35"/>
      <c r="M20" s="35"/>
      <c r="N20" s="35"/>
      <c r="O20" s="35"/>
    </row>
    <row r="21" spans="1:15" ht="12.75" thickBot="1">
      <c r="A21" s="192">
        <f>A16+1</f>
        <v>13</v>
      </c>
      <c r="B21" s="349"/>
      <c r="C21" s="209"/>
      <c r="D21" s="209"/>
      <c r="E21" s="209"/>
      <c r="F21" s="209"/>
      <c r="G21" s="357"/>
      <c r="H21" s="357"/>
      <c r="I21" s="357"/>
      <c r="J21" s="357"/>
      <c r="K21" s="358"/>
      <c r="L21" s="38"/>
      <c r="M21" s="35"/>
      <c r="N21" s="35"/>
      <c r="O21" s="35"/>
    </row>
    <row r="22" spans="1:15" ht="12">
      <c r="A22" s="192">
        <f t="shared" si="0"/>
        <v>14</v>
      </c>
      <c r="B22" s="681" t="s">
        <v>97</v>
      </c>
      <c r="C22" s="682"/>
      <c r="D22" s="150"/>
      <c r="E22" s="150"/>
      <c r="F22" s="150"/>
      <c r="G22" s="150"/>
      <c r="H22" s="184"/>
      <c r="I22" s="184"/>
      <c r="J22" s="184"/>
      <c r="K22" s="147"/>
      <c r="L22" s="38" t="s">
        <v>2</v>
      </c>
      <c r="M22" s="35"/>
      <c r="N22" s="35"/>
      <c r="O22" s="35"/>
    </row>
    <row r="23" spans="1:15" ht="12">
      <c r="A23" s="192">
        <f t="shared" si="0"/>
        <v>15</v>
      </c>
      <c r="B23" s="679" t="s">
        <v>106</v>
      </c>
      <c r="C23" s="680"/>
      <c r="D23" s="38"/>
      <c r="E23" s="38"/>
      <c r="F23" s="38"/>
      <c r="G23" s="219" t="s">
        <v>261</v>
      </c>
      <c r="H23" s="219" t="s">
        <v>261</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2">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2" hidden="1">
      <c r="A26" s="192">
        <v>18</v>
      </c>
      <c r="B26" s="205" t="s">
        <v>260</v>
      </c>
      <c r="C26" s="324"/>
      <c r="D26" s="324"/>
      <c r="E26" s="348">
        <f>D26-C26</f>
        <v>0</v>
      </c>
      <c r="F26" s="370">
        <v>650000000</v>
      </c>
      <c r="G26" s="260">
        <f>C13+H32</f>
        <v>0</v>
      </c>
      <c r="H26" s="260">
        <f>F26-G26</f>
        <v>650000000</v>
      </c>
      <c r="I26" s="381">
        <v>1.75E-3</v>
      </c>
      <c r="J26" s="210">
        <f>ROUND(H26*I26*E26/360,4)</f>
        <v>0</v>
      </c>
      <c r="K26" s="152"/>
      <c r="L26" s="38"/>
      <c r="M26" s="35"/>
      <c r="N26" s="35"/>
      <c r="O26" s="35"/>
    </row>
    <row r="27" spans="1:15" ht="12">
      <c r="A27" s="192">
        <f>A26+1</f>
        <v>19</v>
      </c>
      <c r="B27" s="205" t="s">
        <v>313</v>
      </c>
      <c r="C27" s="324">
        <v>44197</v>
      </c>
      <c r="D27" s="324">
        <v>44561</v>
      </c>
      <c r="E27" s="348">
        <f>D27-C27+1</f>
        <v>365</v>
      </c>
      <c r="F27" s="370">
        <v>800000000</v>
      </c>
      <c r="G27" s="260">
        <f>C14+H33</f>
        <v>0</v>
      </c>
      <c r="H27" s="260">
        <f>F27-G27</f>
        <v>800000000</v>
      </c>
      <c r="I27" s="381">
        <v>1.75E-3</v>
      </c>
      <c r="J27" s="210">
        <f>ROUND(H27*I27*E27/360,4)</f>
        <v>1419444.4443999999</v>
      </c>
      <c r="K27" s="187"/>
      <c r="L27" s="38"/>
      <c r="M27" s="35"/>
      <c r="N27" s="35"/>
      <c r="O27" s="35"/>
    </row>
    <row r="28" spans="1:15" ht="12.75" thickBot="1">
      <c r="A28" s="192">
        <f t="shared" si="0"/>
        <v>20</v>
      </c>
      <c r="B28" s="264" t="s">
        <v>130</v>
      </c>
      <c r="C28" s="41"/>
      <c r="D28" s="276"/>
      <c r="E28" s="327"/>
      <c r="F28" s="277"/>
      <c r="G28" s="591"/>
      <c r="H28" s="591"/>
      <c r="I28" s="278"/>
      <c r="J28" s="594">
        <f>+J26+J27</f>
        <v>1419444.4443999999</v>
      </c>
      <c r="K28" s="187"/>
      <c r="L28" s="38"/>
      <c r="M28" s="35"/>
      <c r="N28" s="35"/>
      <c r="O28" s="35"/>
    </row>
    <row r="29" spans="1:15" ht="12.75" thickTop="1">
      <c r="A29" s="192">
        <f t="shared" si="0"/>
        <v>21</v>
      </c>
      <c r="B29" s="243"/>
      <c r="C29" s="41"/>
      <c r="D29" s="276"/>
      <c r="E29" s="327"/>
      <c r="F29" s="327"/>
      <c r="G29" s="276"/>
      <c r="H29" s="279"/>
      <c r="I29" s="279"/>
      <c r="J29" s="279"/>
      <c r="K29" s="187"/>
      <c r="L29" s="38"/>
      <c r="M29" s="35"/>
      <c r="N29" s="35"/>
      <c r="O29" s="35"/>
    </row>
    <row r="30" spans="1:15" ht="12">
      <c r="A30" s="192">
        <f t="shared" si="0"/>
        <v>22</v>
      </c>
      <c r="B30" s="263" t="s">
        <v>132</v>
      </c>
      <c r="C30" s="280"/>
      <c r="D30" s="89"/>
      <c r="E30" s="89"/>
      <c r="F30" s="40" t="s">
        <v>175</v>
      </c>
      <c r="G30" s="40" t="s">
        <v>51</v>
      </c>
      <c r="H30" s="40" t="s">
        <v>160</v>
      </c>
      <c r="I30" s="276"/>
      <c r="J30" s="279"/>
      <c r="K30" s="187"/>
      <c r="L30" s="38"/>
      <c r="M30" s="35"/>
      <c r="N30" s="35"/>
      <c r="O30" s="35"/>
    </row>
    <row r="31" spans="1:15" ht="12">
      <c r="A31" s="192">
        <f t="shared" si="0"/>
        <v>23</v>
      </c>
      <c r="B31" s="264" t="s">
        <v>161</v>
      </c>
      <c r="C31" s="591"/>
      <c r="D31" s="89"/>
      <c r="E31" s="89"/>
      <c r="F31" s="592" t="s">
        <v>178</v>
      </c>
      <c r="G31" s="348">
        <f>E27</f>
        <v>365</v>
      </c>
      <c r="H31" s="323">
        <v>2565048</v>
      </c>
      <c r="I31" s="381">
        <v>0.01</v>
      </c>
      <c r="J31" s="260">
        <f>(I31*H31)*(G31/360)+(15*12)</f>
        <v>26186.736666666664</v>
      </c>
      <c r="K31" s="187"/>
      <c r="L31" s="38"/>
      <c r="M31" s="35"/>
      <c r="N31" s="35"/>
      <c r="O31" s="35"/>
    </row>
    <row r="32" spans="1:15" ht="12.75" customHeight="1" thickBot="1">
      <c r="A32" s="192">
        <f>A31+1</f>
        <v>24</v>
      </c>
      <c r="B32" s="264"/>
      <c r="C32" s="591"/>
      <c r="D32" s="89"/>
      <c r="E32" s="89"/>
      <c r="F32" s="592"/>
      <c r="G32" s="406"/>
      <c r="H32" s="323"/>
      <c r="I32" s="381"/>
      <c r="J32" s="371">
        <f>SUM(J31)</f>
        <v>26186.736666666664</v>
      </c>
      <c r="K32" s="152"/>
      <c r="L32" s="38"/>
      <c r="M32" s="35"/>
      <c r="N32" s="35"/>
      <c r="O32" s="35"/>
    </row>
    <row r="33" spans="1:19" ht="12.75" customHeight="1" thickTop="1">
      <c r="A33" s="192">
        <f t="shared" si="0"/>
        <v>25</v>
      </c>
      <c r="B33" s="333" t="s">
        <v>162</v>
      </c>
      <c r="C33" s="591"/>
      <c r="D33" s="591"/>
      <c r="E33" s="593"/>
      <c r="F33" s="370"/>
      <c r="G33" s="348"/>
      <c r="H33" s="42"/>
      <c r="I33" s="42"/>
      <c r="K33" s="152"/>
      <c r="L33" s="38"/>
      <c r="M33" s="35"/>
      <c r="N33" s="35"/>
      <c r="O33" s="35"/>
    </row>
    <row r="34" spans="1:19" ht="12.75" customHeight="1">
      <c r="A34" s="192">
        <f t="shared" si="0"/>
        <v>26</v>
      </c>
      <c r="B34" s="264"/>
      <c r="C34" s="591"/>
      <c r="D34" s="591"/>
      <c r="E34" s="591"/>
      <c r="F34" s="325"/>
      <c r="G34" s="326"/>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75"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5"/>
  <sheetViews>
    <sheetView view="pageLayout" topLeftCell="A23" zoomScaleNormal="100" workbookViewId="0">
      <selection activeCell="E50" sqref="E50"/>
    </sheetView>
  </sheetViews>
  <sheetFormatPr defaultRowHeight="11.25"/>
  <cols>
    <col min="1" max="1" width="5.6640625" bestFit="1" customWidth="1"/>
    <col min="2" max="2" width="52.6640625" bestFit="1" customWidth="1"/>
    <col min="3" max="6" width="21.6640625" customWidth="1"/>
    <col min="7" max="7" width="15.83203125" customWidth="1"/>
    <col min="8" max="9" width="12" style="125" customWidth="1"/>
  </cols>
  <sheetData>
    <row r="1" spans="1:8" ht="12">
      <c r="B1" s="36" t="s">
        <v>46</v>
      </c>
    </row>
    <row r="2" spans="1:8" ht="12">
      <c r="A2" s="89"/>
      <c r="B2" s="127" t="s">
        <v>105</v>
      </c>
    </row>
    <row r="3" spans="1:8" ht="12">
      <c r="A3" s="89"/>
      <c r="B3" s="569" t="str">
        <f>'1 - Cost of Capital'!B5</f>
        <v>For The 12 Months Ending December 31, 2021</v>
      </c>
    </row>
    <row r="4" spans="1:8" ht="12">
      <c r="A4" s="38"/>
      <c r="B4" s="36"/>
      <c r="C4" s="382"/>
      <c r="D4" s="382"/>
      <c r="E4" s="382"/>
      <c r="F4" s="382"/>
      <c r="G4" s="382"/>
    </row>
    <row r="5" spans="1:8" ht="12">
      <c r="A5" s="383" t="s">
        <v>5</v>
      </c>
      <c r="B5" s="383" t="s">
        <v>27</v>
      </c>
      <c r="C5" s="383" t="s">
        <v>52</v>
      </c>
      <c r="D5" s="383" t="s">
        <v>64</v>
      </c>
      <c r="E5" s="383" t="s">
        <v>65</v>
      </c>
      <c r="F5" s="383" t="s">
        <v>66</v>
      </c>
      <c r="G5" s="383" t="s">
        <v>67</v>
      </c>
    </row>
    <row r="6" spans="1:8" ht="11.25" customHeight="1">
      <c r="A6" s="382"/>
      <c r="B6" s="384"/>
      <c r="C6" s="384"/>
      <c r="D6" s="384"/>
      <c r="E6" s="384"/>
      <c r="F6" s="384"/>
      <c r="G6" s="384"/>
    </row>
    <row r="7" spans="1:8" ht="11.25" customHeight="1">
      <c r="A7" s="192"/>
      <c r="B7" s="162"/>
      <c r="C7" s="338"/>
      <c r="D7" s="338"/>
      <c r="E7" s="338"/>
      <c r="F7" s="338"/>
    </row>
    <row r="8" spans="1:8" ht="11.25" customHeight="1">
      <c r="A8" s="192">
        <v>1</v>
      </c>
      <c r="B8" s="385" t="s">
        <v>9</v>
      </c>
      <c r="C8" s="386" t="s">
        <v>262</v>
      </c>
      <c r="D8" s="386" t="s">
        <v>262</v>
      </c>
      <c r="E8" s="386" t="s">
        <v>312</v>
      </c>
      <c r="F8" s="386" t="s">
        <v>262</v>
      </c>
      <c r="G8" s="382"/>
    </row>
    <row r="9" spans="1:8" ht="11.25" customHeight="1">
      <c r="A9" s="192">
        <f>A8+1</f>
        <v>2</v>
      </c>
      <c r="B9" s="385"/>
      <c r="C9" s="387" t="s">
        <v>263</v>
      </c>
      <c r="D9" s="387" t="s">
        <v>293</v>
      </c>
      <c r="E9" s="387" t="s">
        <v>263</v>
      </c>
      <c r="F9" s="387" t="s">
        <v>293</v>
      </c>
      <c r="G9" s="388" t="s">
        <v>166</v>
      </c>
    </row>
    <row r="10" spans="1:8" ht="11.25" customHeight="1">
      <c r="A10" s="192">
        <f t="shared" ref="A10:A35" si="0">A9+1</f>
        <v>3</v>
      </c>
      <c r="B10" s="127" t="s">
        <v>148</v>
      </c>
      <c r="C10" s="389">
        <v>18100673</v>
      </c>
      <c r="D10" s="389">
        <v>18900443</v>
      </c>
      <c r="E10" s="389">
        <v>18100683</v>
      </c>
      <c r="F10" s="389">
        <v>18900473</v>
      </c>
      <c r="G10" s="389" t="s">
        <v>167</v>
      </c>
    </row>
    <row r="11" spans="1:8" ht="11.25" customHeight="1">
      <c r="A11" s="192">
        <f t="shared" si="0"/>
        <v>4</v>
      </c>
      <c r="B11" s="127"/>
      <c r="C11" s="382"/>
      <c r="D11" s="382"/>
      <c r="E11" s="382"/>
      <c r="G11" s="382"/>
    </row>
    <row r="12" spans="1:8" ht="12">
      <c r="A12" s="192">
        <f t="shared" si="0"/>
        <v>5</v>
      </c>
      <c r="B12" s="390" t="s">
        <v>62</v>
      </c>
      <c r="C12" s="382"/>
      <c r="D12" s="382"/>
      <c r="E12" s="382"/>
      <c r="F12" s="382"/>
      <c r="G12" s="391"/>
    </row>
    <row r="13" spans="1:8" ht="12">
      <c r="A13" s="192">
        <f t="shared" si="0"/>
        <v>6</v>
      </c>
      <c r="B13" s="579" t="s">
        <v>318</v>
      </c>
      <c r="C13" s="576">
        <v>227073.93</v>
      </c>
      <c r="D13" s="576">
        <v>0</v>
      </c>
      <c r="E13" s="576">
        <v>1617584.24</v>
      </c>
      <c r="F13" s="576">
        <v>34761.339999999997</v>
      </c>
      <c r="G13" s="393"/>
    </row>
    <row r="14" spans="1:8" ht="12">
      <c r="A14" s="192">
        <f t="shared" si="0"/>
        <v>7</v>
      </c>
      <c r="B14" s="35"/>
      <c r="C14" s="394"/>
      <c r="D14" s="394"/>
      <c r="E14" s="394"/>
      <c r="F14" s="394"/>
      <c r="G14" s="393"/>
    </row>
    <row r="15" spans="1:8" ht="12">
      <c r="A15" s="192">
        <f t="shared" si="0"/>
        <v>8</v>
      </c>
      <c r="B15" s="404">
        <v>44197</v>
      </c>
      <c r="C15" s="394">
        <v>-10211.44</v>
      </c>
      <c r="D15" s="394">
        <v>0</v>
      </c>
      <c r="E15" s="394">
        <f>-47576.01</f>
        <v>-47576.01</v>
      </c>
      <c r="F15" s="394">
        <v>-1580.06</v>
      </c>
      <c r="G15" s="393"/>
    </row>
    <row r="16" spans="1:8" ht="12">
      <c r="A16" s="192">
        <f t="shared" si="0"/>
        <v>9</v>
      </c>
      <c r="B16" s="404">
        <v>44228</v>
      </c>
      <c r="C16" s="394">
        <v>-10211.44</v>
      </c>
      <c r="D16" s="394">
        <v>0</v>
      </c>
      <c r="E16" s="394">
        <f>-47576.01</f>
        <v>-47576.01</v>
      </c>
      <c r="F16" s="394">
        <v>-1580.06</v>
      </c>
      <c r="G16" s="392"/>
      <c r="H16" s="366"/>
    </row>
    <row r="17" spans="1:7" ht="12">
      <c r="A17" s="192">
        <f t="shared" si="0"/>
        <v>10</v>
      </c>
      <c r="B17" s="404">
        <v>44256</v>
      </c>
      <c r="C17" s="394">
        <v>-10211.44</v>
      </c>
      <c r="D17" s="394">
        <v>0</v>
      </c>
      <c r="E17" s="394">
        <f>-47576.01</f>
        <v>-47576.01</v>
      </c>
      <c r="F17" s="394">
        <v>-1580.06</v>
      </c>
      <c r="G17" s="393"/>
    </row>
    <row r="18" spans="1:7" ht="12">
      <c r="A18" s="192">
        <f t="shared" si="0"/>
        <v>11</v>
      </c>
      <c r="B18" s="404">
        <v>44287</v>
      </c>
      <c r="C18" s="394">
        <v>-10211.44</v>
      </c>
      <c r="D18" s="394">
        <v>0</v>
      </c>
      <c r="E18" s="394">
        <f t="shared" ref="E18:E23" si="1">-47576.01</f>
        <v>-47576.01</v>
      </c>
      <c r="F18" s="394">
        <v>-1580.06</v>
      </c>
      <c r="G18" s="393"/>
    </row>
    <row r="19" spans="1:7" ht="12">
      <c r="A19" s="192">
        <f t="shared" si="0"/>
        <v>12</v>
      </c>
      <c r="B19" s="404">
        <v>44317</v>
      </c>
      <c r="C19" s="394">
        <v>-10211.44</v>
      </c>
      <c r="D19" s="394">
        <v>0</v>
      </c>
      <c r="E19" s="394">
        <f t="shared" si="1"/>
        <v>-47576.01</v>
      </c>
      <c r="F19" s="394">
        <v>-1580.06</v>
      </c>
      <c r="G19" s="393"/>
    </row>
    <row r="20" spans="1:7" ht="12">
      <c r="A20" s="192">
        <f t="shared" si="0"/>
        <v>13</v>
      </c>
      <c r="B20" s="404">
        <v>44348</v>
      </c>
      <c r="C20" s="394">
        <v>-10211.44</v>
      </c>
      <c r="D20" s="394">
        <v>0</v>
      </c>
      <c r="E20" s="394">
        <f t="shared" si="1"/>
        <v>-47576.01</v>
      </c>
      <c r="F20" s="394">
        <v>-1580.06</v>
      </c>
      <c r="G20" s="393"/>
    </row>
    <row r="21" spans="1:7" ht="12">
      <c r="A21" s="192">
        <f t="shared" si="0"/>
        <v>14</v>
      </c>
      <c r="B21" s="404">
        <v>44378</v>
      </c>
      <c r="C21" s="394">
        <v>-10211.44</v>
      </c>
      <c r="D21" s="394">
        <v>0</v>
      </c>
      <c r="E21" s="394">
        <f t="shared" si="1"/>
        <v>-47576.01</v>
      </c>
      <c r="F21" s="394">
        <v>-1580.06</v>
      </c>
      <c r="G21" s="393"/>
    </row>
    <row r="22" spans="1:7" ht="12">
      <c r="A22" s="192">
        <f t="shared" si="0"/>
        <v>15</v>
      </c>
      <c r="B22" s="404">
        <v>44409</v>
      </c>
      <c r="C22" s="394">
        <v>-10211.44</v>
      </c>
      <c r="D22" s="394">
        <v>0</v>
      </c>
      <c r="E22" s="394">
        <f t="shared" si="1"/>
        <v>-47576.01</v>
      </c>
      <c r="F22" s="394">
        <v>-1580.06</v>
      </c>
      <c r="G22" s="393"/>
    </row>
    <row r="23" spans="1:7" ht="12">
      <c r="A23" s="192">
        <f t="shared" si="0"/>
        <v>16</v>
      </c>
      <c r="B23" s="404">
        <v>44440</v>
      </c>
      <c r="C23" s="394">
        <v>-10211.44</v>
      </c>
      <c r="D23" s="394">
        <v>0</v>
      </c>
      <c r="E23" s="394">
        <f t="shared" si="1"/>
        <v>-47576.01</v>
      </c>
      <c r="F23" s="394">
        <v>-1580.06</v>
      </c>
      <c r="G23" s="393"/>
    </row>
    <row r="24" spans="1:7" ht="12">
      <c r="A24" s="192">
        <f t="shared" si="0"/>
        <v>17</v>
      </c>
      <c r="B24" s="404">
        <v>44470</v>
      </c>
      <c r="C24" s="394">
        <v>-10211.44</v>
      </c>
      <c r="D24" s="394">
        <v>0</v>
      </c>
      <c r="E24" s="394">
        <f t="shared" ref="E24:E26" si="2">-47576.01</f>
        <v>-47576.01</v>
      </c>
      <c r="F24" s="394">
        <v>-1580.06</v>
      </c>
      <c r="G24" s="393"/>
    </row>
    <row r="25" spans="1:7" ht="12">
      <c r="A25" s="192">
        <f t="shared" si="0"/>
        <v>18</v>
      </c>
      <c r="B25" s="404">
        <v>44501</v>
      </c>
      <c r="C25" s="394">
        <v>-10211.44</v>
      </c>
      <c r="D25" s="394">
        <v>0</v>
      </c>
      <c r="E25" s="394">
        <f t="shared" si="2"/>
        <v>-47576.01</v>
      </c>
      <c r="F25" s="394">
        <v>-1580.06</v>
      </c>
      <c r="G25" s="393"/>
    </row>
    <row r="26" spans="1:7" ht="12.75" thickBot="1">
      <c r="A26" s="192">
        <f t="shared" si="0"/>
        <v>19</v>
      </c>
      <c r="B26" s="404">
        <v>44531</v>
      </c>
      <c r="C26" s="394">
        <v>-10211</v>
      </c>
      <c r="D26" s="394">
        <v>0</v>
      </c>
      <c r="E26" s="394">
        <f t="shared" si="2"/>
        <v>-47576.01</v>
      </c>
      <c r="F26" s="394">
        <v>-1580.06</v>
      </c>
      <c r="G26" s="393"/>
    </row>
    <row r="27" spans="1:7" ht="12.75" thickBot="1">
      <c r="A27" s="192">
        <f t="shared" si="0"/>
        <v>20</v>
      </c>
      <c r="B27" s="395" t="s">
        <v>315</v>
      </c>
      <c r="C27" s="401">
        <f>SUM(C15:C26)</f>
        <v>-122536.84000000001</v>
      </c>
      <c r="D27" s="401">
        <f t="shared" ref="D27:F27" si="3">SUM(D15:D26)</f>
        <v>0</v>
      </c>
      <c r="E27" s="401">
        <f t="shared" si="3"/>
        <v>-570912.12</v>
      </c>
      <c r="F27" s="401">
        <f t="shared" si="3"/>
        <v>-18960.719999999998</v>
      </c>
      <c r="G27" s="402">
        <f>SUM(C27:F27)</f>
        <v>-712409.67999999993</v>
      </c>
    </row>
    <row r="28" spans="1:7" ht="12">
      <c r="A28" s="192">
        <f t="shared" si="0"/>
        <v>21</v>
      </c>
      <c r="B28" s="390"/>
      <c r="C28" s="396"/>
      <c r="D28" s="396"/>
      <c r="E28" s="396"/>
      <c r="F28" s="396"/>
      <c r="G28" s="391"/>
    </row>
    <row r="29" spans="1:7" ht="12">
      <c r="A29" s="192">
        <f t="shared" si="0"/>
        <v>22</v>
      </c>
      <c r="B29" s="397" t="s">
        <v>164</v>
      </c>
      <c r="C29" s="394"/>
      <c r="D29" s="394"/>
      <c r="E29" s="394"/>
      <c r="F29" s="394"/>
      <c r="G29" s="393"/>
    </row>
    <row r="30" spans="1:7" ht="12">
      <c r="A30" s="192">
        <f t="shared" si="0"/>
        <v>23</v>
      </c>
      <c r="B30" s="398" t="s">
        <v>165</v>
      </c>
      <c r="C30">
        <v>-2422.35</v>
      </c>
      <c r="D30" s="394"/>
      <c r="E30" s="394"/>
      <c r="F30" s="394"/>
      <c r="G30" s="393"/>
    </row>
    <row r="31" spans="1:7" ht="12.75" thickBot="1">
      <c r="A31" s="192">
        <f t="shared" si="0"/>
        <v>24</v>
      </c>
      <c r="B31" s="206" t="s">
        <v>63</v>
      </c>
      <c r="C31" s="403">
        <f>C13+C27+C29+C30</f>
        <v>102114.73999999998</v>
      </c>
      <c r="D31" s="403">
        <f>D13+D27+D29+D30</f>
        <v>0</v>
      </c>
      <c r="E31" s="403">
        <f>E13+E27+E29+E30</f>
        <v>1046672.12</v>
      </c>
      <c r="F31" s="403">
        <f>F13+F27+F29+F30</f>
        <v>15800.619999999999</v>
      </c>
      <c r="G31" s="393"/>
    </row>
    <row r="32" spans="1:7" ht="12.75" thickTop="1">
      <c r="A32" s="192">
        <f t="shared" si="0"/>
        <v>25</v>
      </c>
      <c r="B32" s="399"/>
      <c r="C32" s="382"/>
      <c r="D32" s="382"/>
      <c r="E32" s="382"/>
      <c r="F32" s="382"/>
      <c r="G32" s="382"/>
    </row>
    <row r="33" spans="1:8" ht="12">
      <c r="A33" s="192">
        <f t="shared" si="0"/>
        <v>26</v>
      </c>
      <c r="B33" s="36" t="s">
        <v>308</v>
      </c>
      <c r="C33" s="392"/>
      <c r="D33" s="392"/>
      <c r="E33" s="392"/>
      <c r="F33" s="392"/>
      <c r="G33" s="35">
        <f>'1 - Cost of Capital'!C30</f>
        <v>9102060780</v>
      </c>
    </row>
    <row r="34" spans="1:8" ht="12">
      <c r="A34" s="192">
        <f t="shared" si="0"/>
        <v>27</v>
      </c>
      <c r="B34" s="35"/>
      <c r="C34" s="400"/>
      <c r="D34" s="400"/>
      <c r="E34" s="400"/>
      <c r="F34" s="400"/>
      <c r="G34" s="35"/>
    </row>
    <row r="35" spans="1:8" ht="12">
      <c r="A35" s="192">
        <f t="shared" si="0"/>
        <v>28</v>
      </c>
      <c r="B35" s="36" t="s">
        <v>309</v>
      </c>
      <c r="C35" s="35"/>
      <c r="D35" s="35"/>
      <c r="E35" s="35"/>
      <c r="F35" s="35"/>
      <c r="G35" s="582">
        <f>ROUND(-G27/G33,4)</f>
        <v>1E-4</v>
      </c>
      <c r="H35" s="598"/>
    </row>
    <row r="36" spans="1:8">
      <c r="A36" s="192"/>
    </row>
    <row r="37" spans="1:8">
      <c r="A37" s="192"/>
    </row>
    <row r="38" spans="1:8">
      <c r="A38" s="192"/>
      <c r="B38" s="221"/>
    </row>
    <row r="39" spans="1:8">
      <c r="A39" s="192"/>
    </row>
    <row r="40" spans="1:8">
      <c r="A40" s="192"/>
    </row>
    <row r="41" spans="1:8">
      <c r="A41" s="192"/>
    </row>
    <row r="42" spans="1:8">
      <c r="A42" s="192"/>
    </row>
    <row r="43" spans="1:8">
      <c r="A43" s="192"/>
      <c r="B43" s="160"/>
    </row>
    <row r="44" spans="1:8">
      <c r="A44" s="192"/>
    </row>
    <row r="45" spans="1:8">
      <c r="A45" s="192"/>
    </row>
    <row r="46" spans="1:8">
      <c r="A46" s="192"/>
      <c r="B46" s="223"/>
    </row>
    <row r="47" spans="1:8">
      <c r="A47" s="192"/>
    </row>
    <row r="48" spans="1:8">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5" type="noConversion"/>
  <pageMargins left="0.79" right="0.67" top="0.44" bottom="0.44" header="0.23" footer="0.17"/>
  <pageSetup scale="95"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C166"/>
  <sheetViews>
    <sheetView tabSelected="1" zoomScaleNormal="100" zoomScalePageLayoutView="110" workbookViewId="0">
      <selection activeCell="L1" sqref="L1:N1"/>
    </sheetView>
  </sheetViews>
  <sheetFormatPr defaultColWidth="8.83203125" defaultRowHeight="12.75" outlineLevelCol="1"/>
  <cols>
    <col min="1" max="1" width="5.6640625" style="25" bestFit="1" customWidth="1"/>
    <col min="2" max="2" width="7" style="23" customWidth="1"/>
    <col min="3" max="3" width="8.33203125" style="23" customWidth="1"/>
    <col min="4" max="4" width="7.1640625" style="23" customWidth="1"/>
    <col min="5" max="5" width="19.332031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15" width="10" style="23" customWidth="1"/>
    <col min="16" max="16" width="10.83203125" style="23" customWidth="1"/>
    <col min="17" max="17" width="9.6640625" style="23" customWidth="1"/>
    <col min="18" max="18" width="9.33203125" style="23" customWidth="1"/>
    <col min="19" max="19" width="9.83203125" style="23" customWidth="1"/>
    <col min="20" max="21" width="9.5" style="23" customWidth="1"/>
    <col min="22" max="22" width="9.6640625" style="23" customWidth="1"/>
    <col min="23" max="23" width="4"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3" t="s">
        <v>96</v>
      </c>
      <c r="B1" s="155"/>
      <c r="C1" s="155"/>
      <c r="D1" s="154"/>
      <c r="E1" s="156"/>
      <c r="F1" s="154"/>
      <c r="G1" s="155"/>
      <c r="H1" s="155"/>
      <c r="I1" s="155"/>
      <c r="L1" s="684" t="s">
        <v>342</v>
      </c>
      <c r="M1" s="685"/>
      <c r="N1" s="685"/>
    </row>
    <row r="2" spans="1:25" s="57" customFormat="1" ht="12.75" customHeight="1">
      <c r="A2" s="267" t="str">
        <f>'1 - Cost of Capital'!B5</f>
        <v>For The 12 Months Ending December 31, 2021</v>
      </c>
      <c r="B2" s="157"/>
      <c r="C2" s="157"/>
      <c r="D2" s="157"/>
      <c r="E2" s="158"/>
      <c r="F2" s="157"/>
      <c r="G2" s="159"/>
      <c r="H2" s="158"/>
      <c r="I2" s="157"/>
      <c r="J2" s="198"/>
      <c r="K2" s="198"/>
      <c r="L2" s="198"/>
      <c r="M2" s="198"/>
      <c r="N2" s="198"/>
      <c r="O2" s="198"/>
      <c r="P2" s="198"/>
      <c r="Q2" s="198"/>
      <c r="R2" s="198"/>
      <c r="S2" s="198"/>
      <c r="T2" s="198"/>
      <c r="U2" s="198"/>
      <c r="V2" s="198"/>
      <c r="W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25"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W4" s="179"/>
      <c r="X4" s="472" t="s">
        <v>198</v>
      </c>
    </row>
    <row r="5" spans="1:25" ht="33.75">
      <c r="A5" s="361">
        <v>1</v>
      </c>
      <c r="B5" s="362" t="s">
        <v>127</v>
      </c>
      <c r="C5" s="362" t="s">
        <v>100</v>
      </c>
      <c r="D5" s="362" t="s">
        <v>57</v>
      </c>
      <c r="E5" s="362" t="s">
        <v>104</v>
      </c>
      <c r="F5" s="362" t="s">
        <v>117</v>
      </c>
      <c r="G5" s="362" t="s">
        <v>84</v>
      </c>
      <c r="H5" s="362" t="s">
        <v>94</v>
      </c>
      <c r="I5" s="362" t="s">
        <v>80</v>
      </c>
      <c r="J5" s="363">
        <f>'2 - CapStructure'!C6</f>
        <v>44196</v>
      </c>
      <c r="K5" s="363">
        <f>'2 - CapStructure'!D6</f>
        <v>44227</v>
      </c>
      <c r="L5" s="363">
        <f>'2 - CapStructure'!E6</f>
        <v>44255</v>
      </c>
      <c r="M5" s="363">
        <f>'2 - CapStructure'!F6</f>
        <v>44286</v>
      </c>
      <c r="N5" s="363">
        <f>'2 - CapStructure'!G6</f>
        <v>44316</v>
      </c>
      <c r="O5" s="363">
        <f>'2 - CapStructure'!H6</f>
        <v>44347</v>
      </c>
      <c r="P5" s="363">
        <f>'2 - CapStructure'!I6</f>
        <v>44377</v>
      </c>
      <c r="Q5" s="363">
        <f>'2 - CapStructure'!J6</f>
        <v>44408</v>
      </c>
      <c r="R5" s="363">
        <f>'2 - CapStructure'!K6</f>
        <v>44439</v>
      </c>
      <c r="S5" s="363">
        <f>'2 - CapStructure'!L6</f>
        <v>44469</v>
      </c>
      <c r="T5" s="363">
        <f>'2 - CapStructure'!M6</f>
        <v>44500</v>
      </c>
      <c r="U5" s="363">
        <f>'2 - CapStructure'!N6</f>
        <v>44530</v>
      </c>
      <c r="V5" s="363">
        <f>'2 - CapStructure'!O6</f>
        <v>44561</v>
      </c>
      <c r="W5" s="363"/>
      <c r="X5" s="473" t="s">
        <v>38</v>
      </c>
      <c r="Y5" s="473" t="s">
        <v>199</v>
      </c>
    </row>
    <row r="6" spans="1:25" s="28" customFormat="1">
      <c r="A6" s="614">
        <v>2</v>
      </c>
      <c r="B6" s="298" t="s">
        <v>23</v>
      </c>
      <c r="C6" s="602">
        <v>7.1499999999999994E-2</v>
      </c>
      <c r="D6" s="603">
        <v>35053</v>
      </c>
      <c r="E6" s="603">
        <v>46010</v>
      </c>
      <c r="F6" s="272">
        <f t="shared" ref="F6:F24" si="0">ROUND(((J6+V6)+(SUM(K6:U6)*2))/24,0)</f>
        <v>15000000</v>
      </c>
      <c r="G6" s="284">
        <v>99.211911999999998</v>
      </c>
      <c r="H6" s="604">
        <f t="shared" ref="H6:H9" si="1">ROUND(YIELD(D6,E6,C6,G6,100,2,2),4)</f>
        <v>7.2099999999999997E-2</v>
      </c>
      <c r="I6" s="272">
        <f t="shared" ref="I6:I9" si="2">ROUND(+H6*F6,0)</f>
        <v>1081500</v>
      </c>
      <c r="J6" s="272">
        <v>15000000</v>
      </c>
      <c r="K6" s="272">
        <v>15000000</v>
      </c>
      <c r="L6" s="272">
        <v>15000000</v>
      </c>
      <c r="M6" s="272">
        <v>15000000</v>
      </c>
      <c r="N6" s="272">
        <v>15000000</v>
      </c>
      <c r="O6" s="272">
        <v>15000000</v>
      </c>
      <c r="P6" s="272">
        <v>15000000</v>
      </c>
      <c r="Q6" s="272">
        <v>15000000</v>
      </c>
      <c r="R6" s="272">
        <v>15000000</v>
      </c>
      <c r="S6" s="272">
        <v>15000000</v>
      </c>
      <c r="T6" s="272">
        <v>15000000</v>
      </c>
      <c r="U6" s="272">
        <v>15000000</v>
      </c>
      <c r="V6" s="272">
        <v>15000000</v>
      </c>
      <c r="W6" s="272"/>
      <c r="X6" s="272">
        <f t="shared" ref="X6:X24" si="3">H6*V6</f>
        <v>1081500</v>
      </c>
    </row>
    <row r="7" spans="1:25" s="28" customFormat="1">
      <c r="A7" s="601">
        <v>3</v>
      </c>
      <c r="B7" s="298" t="s">
        <v>23</v>
      </c>
      <c r="C7" s="602">
        <v>7.1999999999999995E-2</v>
      </c>
      <c r="D7" s="603">
        <v>35054</v>
      </c>
      <c r="E7" s="603">
        <v>46013</v>
      </c>
      <c r="F7" s="272">
        <f t="shared" si="0"/>
        <v>2000000</v>
      </c>
      <c r="G7" s="284">
        <v>99.211600000000004</v>
      </c>
      <c r="H7" s="604">
        <f t="shared" si="1"/>
        <v>7.2599999999999998E-2</v>
      </c>
      <c r="I7" s="272">
        <f t="shared" si="2"/>
        <v>145200</v>
      </c>
      <c r="J7" s="272">
        <v>2000000</v>
      </c>
      <c r="K7" s="272">
        <v>2000000</v>
      </c>
      <c r="L7" s="272">
        <v>2000000</v>
      </c>
      <c r="M7" s="272">
        <v>2000000</v>
      </c>
      <c r="N7" s="272">
        <v>2000000</v>
      </c>
      <c r="O7" s="272">
        <v>2000000</v>
      </c>
      <c r="P7" s="272">
        <v>2000000</v>
      </c>
      <c r="Q7" s="272">
        <v>2000000</v>
      </c>
      <c r="R7" s="272">
        <v>2000000</v>
      </c>
      <c r="S7" s="272">
        <v>2000000</v>
      </c>
      <c r="T7" s="272">
        <v>2000000</v>
      </c>
      <c r="U7" s="272">
        <v>2000000</v>
      </c>
      <c r="V7" s="272">
        <v>2000000</v>
      </c>
      <c r="W7" s="272"/>
      <c r="X7" s="272">
        <f t="shared" si="3"/>
        <v>145200</v>
      </c>
    </row>
    <row r="8" spans="1:25" s="28" customFormat="1">
      <c r="A8" s="614">
        <v>4</v>
      </c>
      <c r="B8" s="298" t="s">
        <v>21</v>
      </c>
      <c r="C8" s="602">
        <v>7.0199999999999999E-2</v>
      </c>
      <c r="D8" s="603">
        <v>35786</v>
      </c>
      <c r="E8" s="603">
        <v>46722</v>
      </c>
      <c r="F8" s="272">
        <f t="shared" si="0"/>
        <v>300000000</v>
      </c>
      <c r="G8" s="284">
        <v>98.985735776666658</v>
      </c>
      <c r="H8" s="604">
        <f t="shared" si="1"/>
        <v>7.0999999999999994E-2</v>
      </c>
      <c r="I8" s="272">
        <f t="shared" si="2"/>
        <v>21300000</v>
      </c>
      <c r="J8" s="272">
        <v>300000000</v>
      </c>
      <c r="K8" s="272">
        <v>300000000</v>
      </c>
      <c r="L8" s="272">
        <v>300000000</v>
      </c>
      <c r="M8" s="272">
        <v>300000000</v>
      </c>
      <c r="N8" s="272">
        <v>300000000</v>
      </c>
      <c r="O8" s="272">
        <v>300000000</v>
      </c>
      <c r="P8" s="272">
        <v>300000000</v>
      </c>
      <c r="Q8" s="272">
        <v>300000000</v>
      </c>
      <c r="R8" s="272">
        <v>300000000</v>
      </c>
      <c r="S8" s="272">
        <v>300000000</v>
      </c>
      <c r="T8" s="272">
        <v>300000000</v>
      </c>
      <c r="U8" s="272">
        <v>300000000</v>
      </c>
      <c r="V8" s="272">
        <v>300000000</v>
      </c>
      <c r="W8" s="272"/>
      <c r="X8" s="272">
        <f t="shared" si="3"/>
        <v>21299999.999999996</v>
      </c>
    </row>
    <row r="9" spans="1:25" s="297" customFormat="1">
      <c r="A9" s="601">
        <v>5</v>
      </c>
      <c r="B9" s="298" t="s">
        <v>22</v>
      </c>
      <c r="C9" s="602">
        <v>7.0000000000000007E-2</v>
      </c>
      <c r="D9" s="603">
        <v>36228</v>
      </c>
      <c r="E9" s="603">
        <v>47186</v>
      </c>
      <c r="F9" s="272">
        <f t="shared" si="0"/>
        <v>100000000</v>
      </c>
      <c r="G9" s="284">
        <v>99.042870549999989</v>
      </c>
      <c r="H9" s="604">
        <f t="shared" si="1"/>
        <v>7.0800000000000002E-2</v>
      </c>
      <c r="I9" s="272">
        <f t="shared" si="2"/>
        <v>7080000</v>
      </c>
      <c r="J9" s="272">
        <v>100000000</v>
      </c>
      <c r="K9" s="272">
        <v>100000000</v>
      </c>
      <c r="L9" s="272">
        <v>100000000</v>
      </c>
      <c r="M9" s="272">
        <v>100000000</v>
      </c>
      <c r="N9" s="272">
        <v>100000000</v>
      </c>
      <c r="O9" s="272">
        <v>100000000</v>
      </c>
      <c r="P9" s="272">
        <v>100000000</v>
      </c>
      <c r="Q9" s="272">
        <v>100000000</v>
      </c>
      <c r="R9" s="272">
        <v>100000000</v>
      </c>
      <c r="S9" s="272">
        <v>100000000</v>
      </c>
      <c r="T9" s="272">
        <v>100000000</v>
      </c>
      <c r="U9" s="272">
        <v>100000000</v>
      </c>
      <c r="V9" s="272">
        <v>100000000</v>
      </c>
      <c r="W9" s="272"/>
      <c r="X9" s="272">
        <f t="shared" si="3"/>
        <v>7080000</v>
      </c>
      <c r="Y9" s="28"/>
    </row>
    <row r="10" spans="1:25" s="297" customFormat="1">
      <c r="A10" s="614">
        <v>6</v>
      </c>
      <c r="B10" s="615" t="s">
        <v>24</v>
      </c>
      <c r="C10" s="602">
        <v>3.9E-2</v>
      </c>
      <c r="D10" s="616">
        <v>41417</v>
      </c>
      <c r="E10" s="617">
        <v>47908</v>
      </c>
      <c r="F10" s="272">
        <f t="shared" si="0"/>
        <v>138460000</v>
      </c>
      <c r="G10" s="284">
        <v>98.939099999999996</v>
      </c>
      <c r="H10" s="604">
        <f t="shared" ref="H10:H22" si="4">ROUND(YIELD(D10,E10,C10,G10,100,2,2),4)</f>
        <v>3.9800000000000002E-2</v>
      </c>
      <c r="I10" s="272">
        <f t="shared" ref="I10:I24" si="5">ROUND(+H10*F10,0)</f>
        <v>5510708</v>
      </c>
      <c r="J10" s="272">
        <v>138460000</v>
      </c>
      <c r="K10" s="272">
        <v>138460000</v>
      </c>
      <c r="L10" s="272">
        <v>138460000</v>
      </c>
      <c r="M10" s="272">
        <v>138460000</v>
      </c>
      <c r="N10" s="272">
        <v>138460000</v>
      </c>
      <c r="O10" s="272">
        <v>138460000</v>
      </c>
      <c r="P10" s="272">
        <v>138460000</v>
      </c>
      <c r="Q10" s="272">
        <v>138460000</v>
      </c>
      <c r="R10" s="272">
        <v>138460000</v>
      </c>
      <c r="S10" s="272">
        <v>138460000</v>
      </c>
      <c r="T10" s="272">
        <v>138460000</v>
      </c>
      <c r="U10" s="272">
        <v>138460000</v>
      </c>
      <c r="V10" s="272">
        <v>138460000</v>
      </c>
      <c r="W10" s="272"/>
      <c r="X10" s="272">
        <f t="shared" si="3"/>
        <v>5510708</v>
      </c>
    </row>
    <row r="11" spans="1:25" s="297" customFormat="1">
      <c r="A11" s="601">
        <v>7</v>
      </c>
      <c r="B11" s="615" t="s">
        <v>24</v>
      </c>
      <c r="C11" s="602">
        <v>0.04</v>
      </c>
      <c r="D11" s="616">
        <v>41417</v>
      </c>
      <c r="E11" s="617">
        <v>47908</v>
      </c>
      <c r="F11" s="272">
        <f t="shared" si="0"/>
        <v>23400000</v>
      </c>
      <c r="G11" s="284">
        <v>98.939099999999996</v>
      </c>
      <c r="H11" s="604">
        <f t="shared" si="4"/>
        <v>4.0800000000000003E-2</v>
      </c>
      <c r="I11" s="272">
        <f t="shared" si="5"/>
        <v>954720</v>
      </c>
      <c r="J11" s="272">
        <v>23400000</v>
      </c>
      <c r="K11" s="272">
        <v>23400000</v>
      </c>
      <c r="L11" s="272">
        <v>23400000</v>
      </c>
      <c r="M11" s="272">
        <v>23400000</v>
      </c>
      <c r="N11" s="272">
        <v>23400000</v>
      </c>
      <c r="O11" s="272">
        <v>23400000</v>
      </c>
      <c r="P11" s="272">
        <v>23400000</v>
      </c>
      <c r="Q11" s="272">
        <v>23400000</v>
      </c>
      <c r="R11" s="272">
        <v>23400000</v>
      </c>
      <c r="S11" s="272">
        <v>23400000</v>
      </c>
      <c r="T11" s="272">
        <v>23400000</v>
      </c>
      <c r="U11" s="272">
        <v>23400000</v>
      </c>
      <c r="V11" s="272">
        <v>23400000</v>
      </c>
      <c r="W11" s="272"/>
      <c r="X11" s="272">
        <f t="shared" si="3"/>
        <v>954720.00000000012</v>
      </c>
    </row>
    <row r="12" spans="1:25" s="297" customFormat="1">
      <c r="A12" s="614">
        <v>8</v>
      </c>
      <c r="B12" s="298" t="s">
        <v>95</v>
      </c>
      <c r="C12" s="602">
        <v>5.4829999999999997E-2</v>
      </c>
      <c r="D12" s="603">
        <v>38499</v>
      </c>
      <c r="E12" s="603">
        <v>49461</v>
      </c>
      <c r="F12" s="272">
        <f t="shared" si="0"/>
        <v>250000000</v>
      </c>
      <c r="G12" s="284">
        <v>84.886606835999999</v>
      </c>
      <c r="H12" s="604">
        <f t="shared" si="4"/>
        <v>6.6500000000000004E-2</v>
      </c>
      <c r="I12" s="275">
        <f t="shared" si="5"/>
        <v>16625000</v>
      </c>
      <c r="J12" s="275">
        <v>250000000</v>
      </c>
      <c r="K12" s="275">
        <v>250000000</v>
      </c>
      <c r="L12" s="275">
        <v>250000000</v>
      </c>
      <c r="M12" s="275">
        <v>250000000</v>
      </c>
      <c r="N12" s="275">
        <v>250000000</v>
      </c>
      <c r="O12" s="275">
        <v>250000000</v>
      </c>
      <c r="P12" s="275">
        <v>250000000</v>
      </c>
      <c r="Q12" s="275">
        <v>250000000</v>
      </c>
      <c r="R12" s="275">
        <v>250000000</v>
      </c>
      <c r="S12" s="275">
        <v>250000000</v>
      </c>
      <c r="T12" s="275">
        <v>250000000</v>
      </c>
      <c r="U12" s="275">
        <v>250000000</v>
      </c>
      <c r="V12" s="275">
        <v>250000000</v>
      </c>
      <c r="W12" s="275"/>
      <c r="X12" s="272">
        <f t="shared" si="3"/>
        <v>16625000</v>
      </c>
    </row>
    <row r="13" spans="1:25" s="297" customFormat="1">
      <c r="A13" s="601">
        <v>9</v>
      </c>
      <c r="B13" s="298" t="s">
        <v>95</v>
      </c>
      <c r="C13" s="602">
        <v>6.7239999999999994E-2</v>
      </c>
      <c r="D13" s="603">
        <v>38898</v>
      </c>
      <c r="E13" s="603">
        <v>49841</v>
      </c>
      <c r="F13" s="272">
        <f t="shared" si="0"/>
        <v>250000000</v>
      </c>
      <c r="G13" s="284">
        <v>107.515271756</v>
      </c>
      <c r="H13" s="604">
        <f t="shared" si="4"/>
        <v>6.1699999999999998E-2</v>
      </c>
      <c r="I13" s="275">
        <f t="shared" si="5"/>
        <v>15425000</v>
      </c>
      <c r="J13" s="275">
        <v>250000000</v>
      </c>
      <c r="K13" s="275">
        <v>250000000</v>
      </c>
      <c r="L13" s="275">
        <v>250000000</v>
      </c>
      <c r="M13" s="275">
        <v>250000000</v>
      </c>
      <c r="N13" s="275">
        <v>250000000</v>
      </c>
      <c r="O13" s="275">
        <v>250000000</v>
      </c>
      <c r="P13" s="275">
        <v>250000000</v>
      </c>
      <c r="Q13" s="275">
        <v>250000000</v>
      </c>
      <c r="R13" s="275">
        <v>250000000</v>
      </c>
      <c r="S13" s="275">
        <v>250000000</v>
      </c>
      <c r="T13" s="275">
        <v>250000000</v>
      </c>
      <c r="U13" s="275">
        <v>250000000</v>
      </c>
      <c r="V13" s="275">
        <v>250000000</v>
      </c>
      <c r="W13" s="275"/>
      <c r="X13" s="272">
        <f t="shared" si="3"/>
        <v>15425000</v>
      </c>
    </row>
    <row r="14" spans="1:25" s="297" customFormat="1">
      <c r="A14" s="614">
        <v>10</v>
      </c>
      <c r="B14" s="298" t="s">
        <v>95</v>
      </c>
      <c r="C14" s="602">
        <v>6.2740000000000004E-2</v>
      </c>
      <c r="D14" s="603">
        <v>38978</v>
      </c>
      <c r="E14" s="603">
        <v>50114</v>
      </c>
      <c r="F14" s="272">
        <f t="shared" si="0"/>
        <v>300000000</v>
      </c>
      <c r="G14" s="284">
        <v>98.812700000000007</v>
      </c>
      <c r="H14" s="604">
        <f t="shared" si="4"/>
        <v>6.3600000000000004E-2</v>
      </c>
      <c r="I14" s="275">
        <f t="shared" si="5"/>
        <v>19080000</v>
      </c>
      <c r="J14" s="275">
        <v>300000000</v>
      </c>
      <c r="K14" s="275">
        <v>300000000</v>
      </c>
      <c r="L14" s="275">
        <v>300000000</v>
      </c>
      <c r="M14" s="275">
        <v>300000000</v>
      </c>
      <c r="N14" s="275">
        <v>300000000</v>
      </c>
      <c r="O14" s="275">
        <v>300000000</v>
      </c>
      <c r="P14" s="275">
        <v>300000000</v>
      </c>
      <c r="Q14" s="275">
        <v>300000000</v>
      </c>
      <c r="R14" s="275">
        <v>300000000</v>
      </c>
      <c r="S14" s="275">
        <v>300000000</v>
      </c>
      <c r="T14" s="275">
        <v>300000000</v>
      </c>
      <c r="U14" s="275">
        <v>300000000</v>
      </c>
      <c r="V14" s="275">
        <v>300000000</v>
      </c>
      <c r="W14" s="275"/>
      <c r="X14" s="272">
        <f t="shared" si="3"/>
        <v>19080000</v>
      </c>
    </row>
    <row r="15" spans="1:25" s="297" customFormat="1">
      <c r="A15" s="601">
        <v>11</v>
      </c>
      <c r="B15" s="298" t="s">
        <v>95</v>
      </c>
      <c r="C15" s="602">
        <v>5.7570000000000003E-2</v>
      </c>
      <c r="D15" s="603">
        <v>40067</v>
      </c>
      <c r="E15" s="603">
        <v>51058</v>
      </c>
      <c r="F15" s="272">
        <f t="shared" si="0"/>
        <v>350000000</v>
      </c>
      <c r="G15" s="284">
        <v>98.983599999999996</v>
      </c>
      <c r="H15" s="604">
        <f t="shared" si="4"/>
        <v>5.8299999999999998E-2</v>
      </c>
      <c r="I15" s="275">
        <f t="shared" si="5"/>
        <v>20405000</v>
      </c>
      <c r="J15" s="275">
        <v>350000000</v>
      </c>
      <c r="K15" s="275">
        <v>350000000</v>
      </c>
      <c r="L15" s="275">
        <v>350000000</v>
      </c>
      <c r="M15" s="275">
        <v>350000000</v>
      </c>
      <c r="N15" s="275">
        <v>350000000</v>
      </c>
      <c r="O15" s="275">
        <v>350000000</v>
      </c>
      <c r="P15" s="275">
        <v>350000000</v>
      </c>
      <c r="Q15" s="275">
        <v>350000000</v>
      </c>
      <c r="R15" s="275">
        <v>350000000</v>
      </c>
      <c r="S15" s="275">
        <v>350000000</v>
      </c>
      <c r="T15" s="275">
        <v>350000000</v>
      </c>
      <c r="U15" s="275">
        <v>350000000</v>
      </c>
      <c r="V15" s="275">
        <v>350000000</v>
      </c>
      <c r="W15" s="275"/>
      <c r="X15" s="272">
        <f t="shared" si="3"/>
        <v>20405000</v>
      </c>
    </row>
    <row r="16" spans="1:25" s="297" customFormat="1">
      <c r="A16" s="614">
        <v>12</v>
      </c>
      <c r="B16" s="298" t="s">
        <v>95</v>
      </c>
      <c r="C16" s="602">
        <v>5.7950000000000002E-2</v>
      </c>
      <c r="D16" s="603">
        <v>40245</v>
      </c>
      <c r="E16" s="603">
        <v>51210</v>
      </c>
      <c r="F16" s="272">
        <f t="shared" si="0"/>
        <v>325000000</v>
      </c>
      <c r="G16" s="284">
        <v>98.958799999999997</v>
      </c>
      <c r="H16" s="604">
        <f t="shared" si="4"/>
        <v>5.8700000000000002E-2</v>
      </c>
      <c r="I16" s="275">
        <f t="shared" si="5"/>
        <v>19077500</v>
      </c>
      <c r="J16" s="275">
        <v>325000000</v>
      </c>
      <c r="K16" s="275">
        <v>325000000</v>
      </c>
      <c r="L16" s="275">
        <v>325000000</v>
      </c>
      <c r="M16" s="275">
        <v>325000000</v>
      </c>
      <c r="N16" s="275">
        <v>325000000</v>
      </c>
      <c r="O16" s="275">
        <v>325000000</v>
      </c>
      <c r="P16" s="275">
        <v>325000000</v>
      </c>
      <c r="Q16" s="275">
        <v>325000000</v>
      </c>
      <c r="R16" s="275">
        <v>325000000</v>
      </c>
      <c r="S16" s="275">
        <v>325000000</v>
      </c>
      <c r="T16" s="275">
        <v>325000000</v>
      </c>
      <c r="U16" s="275">
        <v>325000000</v>
      </c>
      <c r="V16" s="275">
        <v>325000000</v>
      </c>
      <c r="W16" s="275"/>
      <c r="X16" s="272">
        <f t="shared" si="3"/>
        <v>19077500</v>
      </c>
    </row>
    <row r="17" spans="1:25" s="297" customFormat="1">
      <c r="A17" s="601">
        <v>13</v>
      </c>
      <c r="B17" s="298" t="s">
        <v>95</v>
      </c>
      <c r="C17" s="602">
        <v>5.7639999999999997E-2</v>
      </c>
      <c r="D17" s="603">
        <v>40358</v>
      </c>
      <c r="E17" s="603">
        <v>51332</v>
      </c>
      <c r="F17" s="272">
        <f t="shared" si="0"/>
        <v>250000000</v>
      </c>
      <c r="G17" s="284">
        <v>98.965199999999996</v>
      </c>
      <c r="H17" s="604">
        <f t="shared" si="4"/>
        <v>5.8400000000000001E-2</v>
      </c>
      <c r="I17" s="275">
        <f t="shared" si="5"/>
        <v>14600000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W17" s="275"/>
      <c r="X17" s="272">
        <f t="shared" si="3"/>
        <v>14600000</v>
      </c>
    </row>
    <row r="18" spans="1:25" s="297" customFormat="1">
      <c r="A18" s="614">
        <v>14</v>
      </c>
      <c r="B18" s="298" t="s">
        <v>95</v>
      </c>
      <c r="C18" s="602">
        <v>5.638E-2</v>
      </c>
      <c r="D18" s="603">
        <v>40627</v>
      </c>
      <c r="E18" s="603">
        <v>51606</v>
      </c>
      <c r="F18" s="272">
        <f t="shared" si="0"/>
        <v>300000000</v>
      </c>
      <c r="G18" s="284">
        <v>98.971000000000004</v>
      </c>
      <c r="H18" s="604">
        <f t="shared" si="4"/>
        <v>5.7099999999999998E-2</v>
      </c>
      <c r="I18" s="275">
        <f t="shared" si="5"/>
        <v>17130000</v>
      </c>
      <c r="J18" s="275">
        <v>300000000</v>
      </c>
      <c r="K18" s="275">
        <v>300000000</v>
      </c>
      <c r="L18" s="275">
        <v>300000000</v>
      </c>
      <c r="M18" s="275">
        <v>300000000</v>
      </c>
      <c r="N18" s="275">
        <v>300000000</v>
      </c>
      <c r="O18" s="275">
        <v>300000000</v>
      </c>
      <c r="P18" s="275">
        <v>300000000</v>
      </c>
      <c r="Q18" s="275">
        <v>300000000</v>
      </c>
      <c r="R18" s="275">
        <v>300000000</v>
      </c>
      <c r="S18" s="275">
        <v>300000000</v>
      </c>
      <c r="T18" s="275">
        <v>300000000</v>
      </c>
      <c r="U18" s="275">
        <v>300000000</v>
      </c>
      <c r="V18" s="275">
        <v>300000000</v>
      </c>
      <c r="W18" s="275"/>
      <c r="X18" s="272">
        <f t="shared" si="3"/>
        <v>17130000</v>
      </c>
    </row>
    <row r="19" spans="1:25" s="297" customFormat="1">
      <c r="A19" s="601">
        <v>15</v>
      </c>
      <c r="B19" s="298" t="s">
        <v>95</v>
      </c>
      <c r="C19" s="602">
        <v>4.4339999999999997E-2</v>
      </c>
      <c r="D19" s="603">
        <v>40863</v>
      </c>
      <c r="E19" s="603">
        <v>51820</v>
      </c>
      <c r="F19" s="272">
        <f t="shared" si="0"/>
        <v>250000000</v>
      </c>
      <c r="G19" s="284">
        <v>98.962999999999994</v>
      </c>
      <c r="H19" s="604">
        <f t="shared" si="4"/>
        <v>4.4999999999999998E-2</v>
      </c>
      <c r="I19" s="275">
        <f t="shared" si="5"/>
        <v>11250000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V19" s="275">
        <v>250000000</v>
      </c>
      <c r="W19" s="275"/>
      <c r="X19" s="272">
        <f t="shared" si="3"/>
        <v>11250000</v>
      </c>
    </row>
    <row r="20" spans="1:25" s="297" customFormat="1">
      <c r="A20" s="614">
        <v>16</v>
      </c>
      <c r="B20" s="298" t="s">
        <v>95</v>
      </c>
      <c r="C20" s="602">
        <v>4.7E-2</v>
      </c>
      <c r="D20" s="603">
        <v>40869</v>
      </c>
      <c r="E20" s="603">
        <v>55472</v>
      </c>
      <c r="F20" s="272">
        <f t="shared" si="0"/>
        <v>45000000</v>
      </c>
      <c r="G20" s="284">
        <v>98.863900000000001</v>
      </c>
      <c r="H20" s="604">
        <f t="shared" si="4"/>
        <v>4.7600000000000003E-2</v>
      </c>
      <c r="I20" s="275">
        <f t="shared" si="5"/>
        <v>2142000</v>
      </c>
      <c r="J20" s="275">
        <v>45000000</v>
      </c>
      <c r="K20" s="275">
        <v>45000000</v>
      </c>
      <c r="L20" s="275">
        <v>45000000</v>
      </c>
      <c r="M20" s="275">
        <v>45000000</v>
      </c>
      <c r="N20" s="275">
        <v>45000000</v>
      </c>
      <c r="O20" s="275">
        <v>45000000</v>
      </c>
      <c r="P20" s="275">
        <v>45000000</v>
      </c>
      <c r="Q20" s="275">
        <v>45000000</v>
      </c>
      <c r="R20" s="275">
        <v>45000000</v>
      </c>
      <c r="S20" s="275">
        <v>45000000</v>
      </c>
      <c r="T20" s="275">
        <v>45000000</v>
      </c>
      <c r="U20" s="275">
        <v>45000000</v>
      </c>
      <c r="V20" s="275">
        <v>45000000</v>
      </c>
      <c r="W20" s="275"/>
      <c r="X20" s="272">
        <f t="shared" si="3"/>
        <v>2142000</v>
      </c>
    </row>
    <row r="21" spans="1:25" s="297" customFormat="1">
      <c r="A21" s="601">
        <v>17</v>
      </c>
      <c r="B21" s="298" t="s">
        <v>95</v>
      </c>
      <c r="C21" s="602">
        <v>4.2999999999999997E-2</v>
      </c>
      <c r="D21" s="603">
        <v>42150</v>
      </c>
      <c r="E21" s="603">
        <v>53102</v>
      </c>
      <c r="F21" s="272">
        <f t="shared" si="0"/>
        <v>425000000</v>
      </c>
      <c r="G21" s="284">
        <v>98.483019762352939</v>
      </c>
      <c r="H21" s="604">
        <f t="shared" si="4"/>
        <v>4.3900000000000002E-2</v>
      </c>
      <c r="I21" s="275">
        <f t="shared" si="5"/>
        <v>18657500</v>
      </c>
      <c r="J21" s="272">
        <v>425000000</v>
      </c>
      <c r="K21" s="272">
        <v>425000000</v>
      </c>
      <c r="L21" s="272">
        <v>425000000</v>
      </c>
      <c r="M21" s="272">
        <v>425000000</v>
      </c>
      <c r="N21" s="272">
        <v>425000000</v>
      </c>
      <c r="O21" s="272">
        <v>425000000</v>
      </c>
      <c r="P21" s="272">
        <v>425000000</v>
      </c>
      <c r="Q21" s="272">
        <v>425000000</v>
      </c>
      <c r="R21" s="272">
        <v>425000000</v>
      </c>
      <c r="S21" s="272">
        <v>425000000</v>
      </c>
      <c r="T21" s="272">
        <v>425000000</v>
      </c>
      <c r="U21" s="272">
        <v>425000000</v>
      </c>
      <c r="V21" s="272">
        <v>425000000</v>
      </c>
      <c r="W21" s="272"/>
      <c r="X21" s="272">
        <f t="shared" si="3"/>
        <v>18657500</v>
      </c>
    </row>
    <row r="22" spans="1:25" s="297" customFormat="1">
      <c r="A22" s="614">
        <v>18</v>
      </c>
      <c r="B22" s="298" t="s">
        <v>95</v>
      </c>
      <c r="C22" s="602">
        <v>4.2229999999999997E-2</v>
      </c>
      <c r="D22" s="603">
        <v>43265</v>
      </c>
      <c r="E22" s="603">
        <v>54224</v>
      </c>
      <c r="F22" s="272">
        <f t="shared" si="0"/>
        <v>600000000</v>
      </c>
      <c r="G22" s="284">
        <v>98.886799999999994</v>
      </c>
      <c r="H22" s="604">
        <f t="shared" si="4"/>
        <v>4.2900000000000001E-2</v>
      </c>
      <c r="I22" s="275">
        <f t="shared" si="5"/>
        <v>25740000</v>
      </c>
      <c r="J22" s="272">
        <v>600000000</v>
      </c>
      <c r="K22" s="272">
        <v>600000000</v>
      </c>
      <c r="L22" s="272">
        <v>600000000</v>
      </c>
      <c r="M22" s="272">
        <v>600000000</v>
      </c>
      <c r="N22" s="272">
        <v>600000000</v>
      </c>
      <c r="O22" s="272">
        <v>600000000</v>
      </c>
      <c r="P22" s="272">
        <v>600000000</v>
      </c>
      <c r="Q22" s="272">
        <v>600000000</v>
      </c>
      <c r="R22" s="272">
        <v>600000000</v>
      </c>
      <c r="S22" s="272">
        <v>600000000</v>
      </c>
      <c r="T22" s="272">
        <v>600000000</v>
      </c>
      <c r="U22" s="272">
        <v>600000000</v>
      </c>
      <c r="V22" s="272">
        <v>600000000</v>
      </c>
      <c r="W22" s="272"/>
      <c r="X22" s="275">
        <f t="shared" si="3"/>
        <v>25740000</v>
      </c>
    </row>
    <row r="23" spans="1:25">
      <c r="A23" s="601">
        <v>19</v>
      </c>
      <c r="B23" s="580" t="s">
        <v>95</v>
      </c>
      <c r="C23" s="282">
        <v>3.2500000000000001E-2</v>
      </c>
      <c r="D23" s="283">
        <v>43707</v>
      </c>
      <c r="E23" s="283">
        <v>54681</v>
      </c>
      <c r="F23" s="272">
        <f t="shared" si="0"/>
        <v>450000000</v>
      </c>
      <c r="G23" s="672">
        <v>98.83</v>
      </c>
      <c r="H23" s="604">
        <f>ROUND(YIELD(D23,E23,C23,G23,100,2,2),4)</f>
        <v>3.3099999999999997E-2</v>
      </c>
      <c r="I23" s="673">
        <f t="shared" si="5"/>
        <v>14895000</v>
      </c>
      <c r="J23" s="272">
        <v>450000000</v>
      </c>
      <c r="K23" s="272">
        <v>450000000</v>
      </c>
      <c r="L23" s="272">
        <v>450000000</v>
      </c>
      <c r="M23" s="272">
        <v>450000000</v>
      </c>
      <c r="N23" s="272">
        <v>450000000</v>
      </c>
      <c r="O23" s="272">
        <v>450000000</v>
      </c>
      <c r="P23" s="272">
        <v>450000000</v>
      </c>
      <c r="Q23" s="272">
        <v>450000000</v>
      </c>
      <c r="R23" s="272">
        <v>450000000</v>
      </c>
      <c r="S23" s="272">
        <v>450000000</v>
      </c>
      <c r="T23" s="272">
        <v>450000000</v>
      </c>
      <c r="U23" s="272">
        <v>450000000</v>
      </c>
      <c r="V23" s="272">
        <v>450000000</v>
      </c>
      <c r="W23" s="272"/>
      <c r="X23" s="673">
        <f t="shared" si="3"/>
        <v>14894999.999999998</v>
      </c>
    </row>
    <row r="24" spans="1:25">
      <c r="A24" s="601">
        <v>20</v>
      </c>
      <c r="B24" s="580" t="s">
        <v>95</v>
      </c>
      <c r="C24" s="282">
        <v>2.8930000000000001E-2</v>
      </c>
      <c r="D24" s="283">
        <v>44454</v>
      </c>
      <c r="E24" s="283">
        <v>55411</v>
      </c>
      <c r="F24" s="272">
        <f t="shared" si="0"/>
        <v>131250000</v>
      </c>
      <c r="G24" s="672">
        <v>98.84</v>
      </c>
      <c r="H24" s="604">
        <f>ROUND(YIELD(D24,E24,C24,G24,100,2,2),4)</f>
        <v>2.9499999999999998E-2</v>
      </c>
      <c r="I24" s="275">
        <f t="shared" si="5"/>
        <v>3871875</v>
      </c>
      <c r="J24" s="272"/>
      <c r="K24" s="272"/>
      <c r="L24" s="272"/>
      <c r="M24" s="272"/>
      <c r="N24" s="272"/>
      <c r="O24" s="272"/>
      <c r="P24" s="272"/>
      <c r="Q24" s="272"/>
      <c r="R24" s="272"/>
      <c r="S24" s="272">
        <v>450000000</v>
      </c>
      <c r="T24" s="272">
        <v>450000000</v>
      </c>
      <c r="U24" s="272">
        <v>450000000</v>
      </c>
      <c r="V24" s="272">
        <v>450000000</v>
      </c>
      <c r="W24" s="272"/>
      <c r="X24" s="275">
        <f t="shared" si="3"/>
        <v>13275000</v>
      </c>
    </row>
    <row r="25" spans="1:25">
      <c r="A25" s="601">
        <v>21</v>
      </c>
      <c r="B25" s="137"/>
      <c r="C25" s="282"/>
      <c r="D25" s="283"/>
      <c r="E25" s="283"/>
      <c r="F25" s="272"/>
      <c r="G25" s="292"/>
      <c r="H25" s="182"/>
      <c r="I25" s="275"/>
      <c r="J25" s="275"/>
      <c r="K25" s="275"/>
      <c r="L25" s="275"/>
      <c r="M25" s="275"/>
      <c r="N25" s="275"/>
      <c r="O25" s="275"/>
      <c r="P25" s="275"/>
      <c r="Q25" s="275"/>
      <c r="R25" s="275"/>
      <c r="S25" s="275"/>
      <c r="T25" s="275"/>
      <c r="U25" s="275"/>
      <c r="V25" s="275"/>
      <c r="W25" s="272"/>
      <c r="X25" s="674">
        <f>SUM(X6:X24)</f>
        <v>244374128</v>
      </c>
    </row>
    <row r="26" spans="1:25" ht="13.5" thickBot="1">
      <c r="A26" s="614">
        <v>22</v>
      </c>
      <c r="B26" s="137"/>
      <c r="C26" s="139"/>
      <c r="D26" s="283"/>
      <c r="E26" s="283"/>
      <c r="F26" s="272"/>
      <c r="G26" s="288"/>
      <c r="H26" s="182"/>
      <c r="I26" s="632"/>
      <c r="J26" s="633"/>
      <c r="K26" s="633"/>
      <c r="L26" s="633"/>
      <c r="M26" s="633"/>
      <c r="N26" s="633"/>
      <c r="O26" s="633"/>
      <c r="P26" s="633"/>
      <c r="Q26" s="633"/>
      <c r="R26" s="633"/>
      <c r="S26" s="633"/>
      <c r="T26" s="633"/>
      <c r="U26" s="633"/>
      <c r="V26" s="633"/>
      <c r="W26" s="275"/>
      <c r="X26" s="474"/>
    </row>
    <row r="27" spans="1:25" ht="13.5" thickBot="1">
      <c r="A27" s="601">
        <v>23</v>
      </c>
      <c r="B27" s="139" t="s">
        <v>129</v>
      </c>
      <c r="C27" s="282"/>
      <c r="D27" s="283"/>
      <c r="E27" s="283"/>
      <c r="F27" s="289">
        <f>SUM(F6:F26)</f>
        <v>4505110000</v>
      </c>
      <c r="G27" s="290"/>
      <c r="H27" s="215">
        <f>ROUND(+I27/F27,4)</f>
        <v>5.2200000000000003E-2</v>
      </c>
      <c r="I27" s="675">
        <f t="shared" ref="I27:V27" si="6">SUM(I6:I26)</f>
        <v>234971003</v>
      </c>
      <c r="J27" s="293">
        <f>SUM(J6:J26)</f>
        <v>4373860000</v>
      </c>
      <c r="K27" s="293">
        <f>SUM(K6:K26)</f>
        <v>4373860000</v>
      </c>
      <c r="L27" s="293">
        <f>SUM(L6:L26)</f>
        <v>4373860000</v>
      </c>
      <c r="M27" s="293">
        <f t="shared" si="6"/>
        <v>4373860000</v>
      </c>
      <c r="N27" s="293">
        <f t="shared" si="6"/>
        <v>4373860000</v>
      </c>
      <c r="O27" s="293">
        <f t="shared" si="6"/>
        <v>4373860000</v>
      </c>
      <c r="P27" s="293">
        <f t="shared" si="6"/>
        <v>4373860000</v>
      </c>
      <c r="Q27" s="293">
        <f t="shared" si="6"/>
        <v>4373860000</v>
      </c>
      <c r="R27" s="293">
        <f t="shared" si="6"/>
        <v>4373860000</v>
      </c>
      <c r="S27" s="293">
        <f t="shared" si="6"/>
        <v>4823860000</v>
      </c>
      <c r="T27" s="293">
        <f t="shared" si="6"/>
        <v>4823860000</v>
      </c>
      <c r="U27" s="293">
        <f t="shared" si="6"/>
        <v>4823860000</v>
      </c>
      <c r="V27" s="293">
        <f t="shared" si="6"/>
        <v>4823860000</v>
      </c>
      <c r="W27" s="291"/>
      <c r="X27" s="675">
        <f>SUM(X25:X26)</f>
        <v>244374128</v>
      </c>
      <c r="Y27" s="475">
        <f>X27/V27</f>
        <v>5.0659456949413956E-2</v>
      </c>
    </row>
    <row r="28" spans="1:25" ht="13.5" thickBot="1">
      <c r="A28" s="614">
        <v>24</v>
      </c>
      <c r="B28" s="137"/>
      <c r="C28" s="282"/>
      <c r="D28" s="283"/>
      <c r="E28" s="283"/>
      <c r="F28" s="291"/>
      <c r="G28" s="288"/>
      <c r="H28" s="245"/>
      <c r="I28" s="291"/>
      <c r="J28" s="497"/>
      <c r="K28" s="497"/>
      <c r="L28" s="497"/>
      <c r="M28" s="497"/>
      <c r="N28" s="497"/>
      <c r="O28" s="497"/>
      <c r="P28" s="497"/>
      <c r="Q28" s="497"/>
      <c r="R28" s="497"/>
      <c r="S28" s="497"/>
      <c r="T28" s="497"/>
      <c r="U28" s="497"/>
      <c r="V28" s="497"/>
      <c r="W28" s="497"/>
      <c r="X28" s="273">
        <f>H28*S28</f>
        <v>0</v>
      </c>
    </row>
    <row r="29" spans="1:25" ht="13.5" thickBot="1">
      <c r="A29" s="601">
        <v>25</v>
      </c>
      <c r="B29" s="139" t="s">
        <v>319</v>
      </c>
      <c r="C29" s="282"/>
      <c r="D29" s="283"/>
      <c r="E29" s="283"/>
      <c r="F29" s="291">
        <f>F27</f>
        <v>4505110000</v>
      </c>
      <c r="G29" s="288"/>
      <c r="H29" s="215">
        <f>ROUND(+I29/F29,4)</f>
        <v>5.2200000000000003E-2</v>
      </c>
      <c r="I29" s="676">
        <f>SUM(I6:I24)</f>
        <v>234971003</v>
      </c>
      <c r="J29" s="497"/>
      <c r="K29" s="497"/>
      <c r="L29" s="497"/>
      <c r="M29" s="497"/>
      <c r="N29" s="497"/>
      <c r="O29" s="497"/>
      <c r="P29" s="497"/>
      <c r="Q29" s="497"/>
      <c r="R29" s="497"/>
      <c r="S29" s="497"/>
      <c r="T29" s="497"/>
      <c r="U29" s="497"/>
      <c r="V29" s="497"/>
      <c r="W29" s="497"/>
      <c r="X29" s="273"/>
    </row>
    <row r="30" spans="1:25">
      <c r="A30" s="601">
        <v>26</v>
      </c>
      <c r="B30" s="137"/>
      <c r="C30" s="282"/>
      <c r="D30" s="283"/>
      <c r="E30" s="283"/>
      <c r="F30" s="291"/>
      <c r="G30" s="288"/>
      <c r="H30" s="245"/>
      <c r="I30" s="291"/>
      <c r="J30" s="497"/>
      <c r="K30" s="497"/>
      <c r="L30" s="497"/>
      <c r="M30" s="497"/>
      <c r="N30" s="497"/>
      <c r="O30" s="497"/>
      <c r="P30" s="497"/>
      <c r="Q30" s="497"/>
      <c r="R30" s="497"/>
      <c r="S30" s="497"/>
      <c r="T30" s="497"/>
      <c r="U30" s="497"/>
      <c r="V30" s="497"/>
      <c r="W30" s="497"/>
      <c r="X30" s="273"/>
    </row>
    <row r="31" spans="1:25">
      <c r="A31" s="601">
        <v>27</v>
      </c>
      <c r="B31" s="580" t="s">
        <v>302</v>
      </c>
      <c r="C31" s="282"/>
      <c r="D31" s="283"/>
      <c r="E31" s="283"/>
      <c r="F31" s="291">
        <f>'3 - STD Cost Rate'!C17</f>
        <v>172711821</v>
      </c>
      <c r="G31" s="288"/>
      <c r="H31" s="587">
        <f>ROUND(I31/F31,4)</f>
        <v>3.5000000000000001E-3</v>
      </c>
      <c r="I31" s="291">
        <f>'3 - STD Cost Rate'!E17</f>
        <v>606303.96959293832</v>
      </c>
      <c r="J31" s="497"/>
      <c r="K31" s="497"/>
      <c r="L31" s="497"/>
      <c r="M31" s="497"/>
      <c r="N31" s="497"/>
      <c r="O31" s="497"/>
      <c r="P31" s="497"/>
      <c r="Q31" s="497"/>
      <c r="R31" s="497"/>
      <c r="S31" s="497"/>
      <c r="T31" s="497"/>
      <c r="U31" s="497"/>
      <c r="V31" s="497"/>
      <c r="W31" s="497"/>
      <c r="X31" s="273"/>
    </row>
    <row r="32" spans="1:25">
      <c r="A32" s="614">
        <v>28</v>
      </c>
      <c r="B32" s="137"/>
      <c r="C32" s="282"/>
      <c r="D32" s="283"/>
      <c r="E32" s="283"/>
      <c r="F32" s="291"/>
      <c r="G32" s="288"/>
      <c r="H32" s="245"/>
      <c r="I32" s="291"/>
      <c r="J32" s="497"/>
      <c r="K32" s="497"/>
      <c r="L32" s="497"/>
      <c r="M32" s="497"/>
      <c r="N32" s="497"/>
      <c r="O32" s="497"/>
      <c r="P32" s="497"/>
      <c r="Q32" s="497"/>
      <c r="R32" s="497"/>
      <c r="S32" s="497"/>
      <c r="T32" s="497"/>
      <c r="U32" s="497"/>
      <c r="V32" s="497"/>
      <c r="W32" s="497"/>
      <c r="X32" s="273"/>
    </row>
    <row r="33" spans="1:55">
      <c r="A33" s="601">
        <v>29</v>
      </c>
      <c r="B33" s="588" t="s">
        <v>303</v>
      </c>
      <c r="C33" s="282"/>
      <c r="D33" s="283"/>
      <c r="E33" s="283"/>
      <c r="F33" s="291">
        <f>F31+F27</f>
        <v>4677821821</v>
      </c>
      <c r="G33" s="288"/>
      <c r="H33" s="587">
        <f>ROUND(I33/F33,4)</f>
        <v>5.04E-2</v>
      </c>
      <c r="I33" s="676">
        <f>I31+I29</f>
        <v>235577306.96959293</v>
      </c>
      <c r="J33" s="497"/>
      <c r="K33" s="497"/>
      <c r="L33" s="497"/>
      <c r="M33" s="497"/>
      <c r="N33" s="497"/>
      <c r="O33" s="497"/>
      <c r="P33" s="497"/>
      <c r="Q33" s="497"/>
      <c r="R33" s="497"/>
      <c r="S33" s="497"/>
      <c r="T33" s="497"/>
      <c r="U33" s="497"/>
      <c r="V33" s="497"/>
      <c r="W33" s="497"/>
      <c r="X33" s="273"/>
    </row>
    <row r="34" spans="1:55">
      <c r="A34" s="614">
        <v>30</v>
      </c>
      <c r="B34" s="137"/>
      <c r="C34" s="282"/>
      <c r="D34" s="283"/>
      <c r="E34" s="283"/>
      <c r="F34" s="291"/>
      <c r="G34" s="288"/>
      <c r="H34" s="245"/>
      <c r="I34" s="291"/>
      <c r="J34" s="497"/>
      <c r="K34" s="497"/>
      <c r="L34" s="497"/>
      <c r="M34" s="497"/>
      <c r="N34" s="497"/>
      <c r="O34" s="497"/>
      <c r="P34" s="497"/>
      <c r="Q34" s="497"/>
      <c r="R34" s="497"/>
      <c r="S34" s="497"/>
      <c r="T34" s="497"/>
      <c r="U34" s="497"/>
      <c r="V34" s="497"/>
      <c r="W34" s="497"/>
      <c r="X34" s="273"/>
    </row>
    <row r="35" spans="1:55">
      <c r="A35" s="601">
        <v>31</v>
      </c>
      <c r="B35" s="135" t="s">
        <v>85</v>
      </c>
      <c r="C35" s="136"/>
      <c r="D35" s="136"/>
      <c r="E35" s="136"/>
      <c r="F35" s="136"/>
      <c r="G35" s="136"/>
      <c r="H35" s="136"/>
      <c r="I35" s="136"/>
      <c r="X35" s="291"/>
      <c r="Y35" s="245"/>
    </row>
    <row r="36" spans="1:55">
      <c r="A36" s="601">
        <v>32</v>
      </c>
      <c r="B36" s="135" t="s">
        <v>93</v>
      </c>
      <c r="C36" s="136"/>
      <c r="D36" s="136"/>
      <c r="E36" s="136"/>
      <c r="F36" s="136"/>
      <c r="G36" s="138"/>
      <c r="H36" s="136"/>
      <c r="I36" s="136"/>
    </row>
    <row r="37" spans="1:55">
      <c r="A37" s="133"/>
      <c r="B37" s="135"/>
      <c r="C37" s="136"/>
      <c r="D37" s="136"/>
      <c r="E37" s="136"/>
      <c r="F37" s="136"/>
      <c r="G37" s="138"/>
      <c r="H37" s="136"/>
      <c r="I37" s="136"/>
    </row>
    <row r="38" spans="1:55">
      <c r="A38" s="133"/>
      <c r="B38" s="135"/>
      <c r="C38" s="136"/>
      <c r="D38" s="136"/>
      <c r="E38" s="136"/>
      <c r="F38" s="136"/>
      <c r="G38" s="138"/>
      <c r="H38" s="136"/>
      <c r="I38" s="136"/>
    </row>
    <row r="39" spans="1:55">
      <c r="A39" s="133"/>
      <c r="B39" s="134"/>
      <c r="C39" s="134"/>
      <c r="D39" s="134"/>
      <c r="E39" s="321"/>
      <c r="G39" s="134"/>
      <c r="H39" s="294"/>
      <c r="I39" s="295"/>
      <c r="J39" s="296"/>
      <c r="K39" s="296"/>
      <c r="L39" s="296"/>
      <c r="M39" s="296"/>
      <c r="N39" s="296"/>
      <c r="O39" s="296"/>
      <c r="P39" s="296"/>
      <c r="Q39" s="296"/>
      <c r="R39" s="296"/>
      <c r="S39" s="296"/>
      <c r="T39" s="296"/>
      <c r="U39" s="296"/>
      <c r="V39" s="296"/>
      <c r="W39" s="296"/>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row>
    <row r="40" spans="1:55">
      <c r="A40" s="44"/>
      <c r="B40" s="297"/>
      <c r="C40" s="297"/>
      <c r="D40" s="297"/>
      <c r="E40" s="297"/>
      <c r="F40" s="271"/>
      <c r="G40" s="297"/>
      <c r="H40" s="136"/>
      <c r="I40" s="178"/>
      <c r="J40" s="298"/>
      <c r="K40" s="137"/>
      <c r="L40" s="137"/>
      <c r="M40" s="137"/>
      <c r="N40" s="137"/>
      <c r="O40" s="137"/>
      <c r="P40" s="137"/>
      <c r="Q40" s="137"/>
      <c r="R40" s="137"/>
      <c r="S40" s="137"/>
      <c r="T40" s="137"/>
      <c r="U40" s="137"/>
      <c r="V40" s="137"/>
      <c r="W40" s="137"/>
    </row>
    <row r="41" spans="1:55">
      <c r="A41" s="44"/>
      <c r="B41" s="297"/>
      <c r="C41" s="297"/>
      <c r="D41" s="297"/>
      <c r="E41" s="297"/>
      <c r="F41" s="270"/>
      <c r="G41" s="297"/>
      <c r="H41" s="134"/>
      <c r="I41" s="295"/>
      <c r="J41" s="273"/>
      <c r="K41" s="273"/>
      <c r="L41" s="273"/>
      <c r="M41" s="273"/>
      <c r="N41" s="273"/>
      <c r="O41" s="273"/>
      <c r="P41" s="273"/>
      <c r="Q41" s="273"/>
      <c r="R41" s="273"/>
      <c r="S41" s="273"/>
      <c r="T41" s="273"/>
      <c r="U41" s="273"/>
      <c r="V41" s="273"/>
      <c r="W41" s="273"/>
    </row>
    <row r="42" spans="1:55">
      <c r="A42" s="44"/>
      <c r="B42" s="28"/>
      <c r="C42" s="28"/>
      <c r="D42" s="28"/>
      <c r="E42" s="28"/>
      <c r="F42" s="271"/>
      <c r="G42" s="28"/>
      <c r="H42" s="28"/>
      <c r="I42" s="45"/>
      <c r="J42" s="220" t="str">
        <f t="shared" ref="J42:S42" si="7">IF(J41&lt;&gt;0,"ERROR","")</f>
        <v/>
      </c>
      <c r="K42" s="220" t="str">
        <f t="shared" si="7"/>
        <v/>
      </c>
      <c r="L42" s="220" t="str">
        <f t="shared" si="7"/>
        <v/>
      </c>
      <c r="M42" s="220" t="str">
        <f t="shared" si="7"/>
        <v/>
      </c>
      <c r="N42" s="220" t="str">
        <f t="shared" si="7"/>
        <v/>
      </c>
      <c r="O42" s="220" t="str">
        <f t="shared" si="7"/>
        <v/>
      </c>
      <c r="P42" s="220" t="str">
        <f t="shared" si="7"/>
        <v/>
      </c>
      <c r="Q42" s="220" t="str">
        <f t="shared" si="7"/>
        <v/>
      </c>
      <c r="R42" s="220" t="str">
        <f t="shared" si="7"/>
        <v/>
      </c>
      <c r="S42" s="44" t="str">
        <f t="shared" si="7"/>
        <v/>
      </c>
      <c r="T42" s="44"/>
      <c r="U42" s="44"/>
      <c r="V42" s="44"/>
      <c r="W42" s="44"/>
    </row>
    <row r="43" spans="1:55">
      <c r="A43" s="44"/>
      <c r="B43" s="28"/>
      <c r="C43" s="28"/>
      <c r="D43" s="28"/>
      <c r="E43" s="630"/>
      <c r="F43" s="45"/>
      <c r="G43" s="28"/>
      <c r="H43" s="182"/>
      <c r="Y43" s="606"/>
    </row>
    <row r="44" spans="1:55">
      <c r="A44" s="46"/>
      <c r="B44" s="47"/>
      <c r="C44" s="48"/>
      <c r="D44" s="49"/>
      <c r="E44" s="49"/>
      <c r="F44" s="261"/>
      <c r="G44" s="51"/>
      <c r="H44" s="182"/>
      <c r="I44" s="97"/>
      <c r="Y44" s="606"/>
    </row>
    <row r="45" spans="1:55">
      <c r="A45" s="46"/>
      <c r="B45" s="47"/>
      <c r="C45" s="48"/>
      <c r="D45" s="49"/>
      <c r="E45" s="49"/>
      <c r="F45" s="50"/>
      <c r="G45" s="51"/>
      <c r="H45" s="52"/>
      <c r="I45" s="53"/>
      <c r="Y45" s="606"/>
    </row>
    <row r="46" spans="1:55">
      <c r="A46" s="46"/>
      <c r="B46" s="47"/>
      <c r="C46" s="48"/>
      <c r="D46" s="49"/>
      <c r="E46" s="49"/>
      <c r="F46" s="50"/>
      <c r="G46" s="51"/>
      <c r="H46" s="52"/>
      <c r="I46" s="53"/>
      <c r="Y46" s="606"/>
    </row>
    <row r="47" spans="1:55" hidden="1">
      <c r="A47" s="54"/>
      <c r="B47" s="28"/>
      <c r="C47" s="28"/>
      <c r="D47" s="28"/>
      <c r="E47" s="28"/>
      <c r="F47" s="45"/>
      <c r="G47" s="28"/>
      <c r="H47" s="55"/>
      <c r="I47" s="45"/>
      <c r="Y47" s="606"/>
    </row>
    <row r="48" spans="1:55" hidden="1">
      <c r="A48" s="54"/>
      <c r="B48" s="28"/>
      <c r="C48" s="28"/>
      <c r="D48" s="28"/>
      <c r="E48" s="28"/>
      <c r="F48" s="45"/>
      <c r="G48" s="28"/>
      <c r="H48" s="56"/>
      <c r="I48" s="45"/>
      <c r="Y48" s="606"/>
    </row>
    <row r="49" spans="1:25" hidden="1">
      <c r="A49" s="54"/>
      <c r="B49" s="28"/>
      <c r="C49" s="28"/>
      <c r="D49" s="28"/>
      <c r="E49" s="28"/>
      <c r="F49" s="45"/>
      <c r="G49" s="28"/>
      <c r="H49" s="28"/>
      <c r="I49" s="45"/>
      <c r="Y49" s="606"/>
    </row>
    <row r="50" spans="1:25">
      <c r="A50" s="46"/>
      <c r="B50" s="47"/>
      <c r="C50" s="48"/>
      <c r="D50" s="49"/>
      <c r="E50" s="49"/>
      <c r="F50" s="50"/>
      <c r="G50" s="51"/>
      <c r="H50" s="52"/>
      <c r="I50" s="53"/>
      <c r="Y50" s="606"/>
    </row>
    <row r="51" spans="1:25">
      <c r="A51" s="46"/>
      <c r="B51" s="47"/>
      <c r="C51" s="48"/>
      <c r="D51" s="49"/>
      <c r="E51" s="49"/>
      <c r="F51" s="50"/>
      <c r="G51" s="51"/>
      <c r="H51" s="52"/>
      <c r="I51" s="53"/>
      <c r="Y51" s="606"/>
    </row>
    <row r="52" spans="1:25">
      <c r="A52" s="54"/>
      <c r="B52" s="28"/>
      <c r="C52" s="28"/>
      <c r="D52" s="28"/>
      <c r="E52" s="28"/>
      <c r="F52" s="45"/>
      <c r="G52" s="28"/>
      <c r="H52" s="28"/>
      <c r="I52" s="45"/>
      <c r="Y52" s="606"/>
    </row>
    <row r="53" spans="1:25">
      <c r="A53" s="54"/>
      <c r="B53" s="28"/>
      <c r="C53" s="28"/>
      <c r="D53" s="28"/>
      <c r="E53" s="28"/>
      <c r="F53" s="45"/>
      <c r="G53" s="28"/>
      <c r="H53" s="28"/>
      <c r="I53" s="45"/>
      <c r="Y53" s="606"/>
    </row>
    <row r="54" spans="1:25">
      <c r="A54" s="54"/>
      <c r="B54" s="28"/>
      <c r="C54" s="28"/>
      <c r="D54" s="28"/>
      <c r="E54" s="28"/>
      <c r="F54" s="45"/>
      <c r="G54" s="28"/>
      <c r="H54" s="28"/>
      <c r="I54" s="45"/>
      <c r="Y54" s="606"/>
    </row>
    <row r="55" spans="1:25">
      <c r="A55" s="54"/>
      <c r="B55" s="28"/>
      <c r="C55" s="28"/>
      <c r="D55" s="28"/>
      <c r="E55" s="28"/>
      <c r="F55" s="45"/>
      <c r="G55" s="28"/>
      <c r="H55" s="28"/>
      <c r="I55" s="45"/>
      <c r="Y55" s="606"/>
    </row>
    <row r="56" spans="1:25">
      <c r="A56" s="54"/>
      <c r="B56" s="28"/>
      <c r="C56" s="28"/>
      <c r="D56" s="28"/>
      <c r="E56" s="28"/>
      <c r="F56" s="45"/>
      <c r="G56" s="28"/>
      <c r="H56" s="28"/>
      <c r="I56" s="45"/>
      <c r="Y56" s="606"/>
    </row>
    <row r="57" spans="1:25">
      <c r="A57" s="54"/>
      <c r="B57" s="28"/>
      <c r="C57" s="28"/>
      <c r="D57" s="28"/>
      <c r="E57" s="28"/>
      <c r="F57" s="45"/>
      <c r="G57" s="28"/>
      <c r="H57" s="28"/>
      <c r="I57" s="45"/>
      <c r="Y57" s="606"/>
    </row>
    <row r="58" spans="1:25">
      <c r="A58" s="54"/>
      <c r="B58" s="28"/>
      <c r="C58" s="28"/>
      <c r="D58" s="28"/>
      <c r="E58" s="28"/>
      <c r="F58" s="45"/>
      <c r="G58" s="28"/>
      <c r="H58" s="28"/>
      <c r="I58" s="45"/>
      <c r="Y58" s="606"/>
    </row>
    <row r="59" spans="1:25">
      <c r="A59" s="54"/>
      <c r="B59" s="28"/>
      <c r="C59" s="28"/>
      <c r="D59" s="28"/>
      <c r="E59" s="28"/>
      <c r="F59" s="45"/>
      <c r="G59" s="28"/>
      <c r="H59" s="28"/>
      <c r="I59" s="45"/>
      <c r="Y59" s="606"/>
    </row>
    <row r="60" spans="1:25">
      <c r="A60" s="54"/>
      <c r="B60" s="28"/>
      <c r="C60" s="28"/>
      <c r="D60" s="28"/>
      <c r="E60" s="28"/>
      <c r="F60" s="45"/>
      <c r="G60" s="28"/>
      <c r="H60" s="28"/>
      <c r="I60" s="45"/>
      <c r="Y60" s="606"/>
    </row>
    <row r="61" spans="1:25">
      <c r="A61" s="44"/>
      <c r="B61" s="28"/>
      <c r="C61" s="47"/>
      <c r="D61" s="28"/>
      <c r="E61" s="28"/>
      <c r="F61" s="45"/>
      <c r="G61" s="28"/>
      <c r="H61" s="28"/>
      <c r="I61" s="45"/>
      <c r="Y61" s="606"/>
    </row>
    <row r="62" spans="1:25">
      <c r="C62" s="24"/>
      <c r="E62" s="30"/>
      <c r="Y62" s="606"/>
    </row>
    <row r="63" spans="1:25">
      <c r="C63" s="29"/>
      <c r="Y63" s="606"/>
    </row>
    <row r="64" spans="1:25">
      <c r="Y64" s="606"/>
    </row>
    <row r="65" spans="25:25">
      <c r="Y65" s="606"/>
    </row>
    <row r="66" spans="25:25">
      <c r="Y66" s="606"/>
    </row>
    <row r="67" spans="25:25">
      <c r="Y67" s="606"/>
    </row>
    <row r="68" spans="25:25">
      <c r="Y68" s="606"/>
    </row>
    <row r="69" spans="25:25">
      <c r="Y69" s="606"/>
    </row>
    <row r="70" spans="25:25">
      <c r="Y70" s="606"/>
    </row>
    <row r="71" spans="25:25">
      <c r="Y71" s="606"/>
    </row>
    <row r="72" spans="25:25">
      <c r="Y72" s="606"/>
    </row>
    <row r="73" spans="25:25">
      <c r="Y73" s="606"/>
    </row>
    <row r="74" spans="25:25">
      <c r="Y74" s="606"/>
    </row>
    <row r="75" spans="25:25">
      <c r="Y75" s="606"/>
    </row>
    <row r="76" spans="25:25">
      <c r="Y76" s="606"/>
    </row>
    <row r="77" spans="25:25">
      <c r="Y77" s="606"/>
    </row>
    <row r="78" spans="25:25">
      <c r="Y78" s="606"/>
    </row>
    <row r="79" spans="25:25">
      <c r="Y79" s="606"/>
    </row>
    <row r="80" spans="25:25">
      <c r="Y80" s="606"/>
    </row>
    <row r="81" spans="25:25">
      <c r="Y81" s="606"/>
    </row>
    <row r="82" spans="25:25">
      <c r="Y82" s="606"/>
    </row>
    <row r="83" spans="25:25">
      <c r="Y83" s="606"/>
    </row>
    <row r="84" spans="25:25">
      <c r="Y84" s="606"/>
    </row>
    <row r="85" spans="25:25">
      <c r="Y85" s="606"/>
    </row>
    <row r="86" spans="25:25">
      <c r="Y86" s="606"/>
    </row>
    <row r="87" spans="25:25">
      <c r="Y87" s="606"/>
    </row>
    <row r="88" spans="25:25">
      <c r="Y88" s="606"/>
    </row>
    <row r="89" spans="25:25">
      <c r="Y89" s="606"/>
    </row>
    <row r="90" spans="25:25">
      <c r="Y90" s="606"/>
    </row>
    <row r="91" spans="25:25">
      <c r="Y91" s="606"/>
    </row>
    <row r="92" spans="25:25">
      <c r="Y92" s="606"/>
    </row>
    <row r="93" spans="25:25">
      <c r="Y93" s="606"/>
    </row>
    <row r="94" spans="25:25">
      <c r="Y94" s="606"/>
    </row>
    <row r="95" spans="25:25">
      <c r="Y95" s="606"/>
    </row>
    <row r="96" spans="25:25">
      <c r="Y96" s="606"/>
    </row>
    <row r="97" spans="25:25">
      <c r="Y97" s="606"/>
    </row>
    <row r="98" spans="25:25">
      <c r="Y98" s="606"/>
    </row>
    <row r="99" spans="25:25">
      <c r="Y99" s="606"/>
    </row>
    <row r="100" spans="25:25">
      <c r="Y100" s="606"/>
    </row>
    <row r="101" spans="25:25">
      <c r="Y101" s="606"/>
    </row>
    <row r="102" spans="25:25">
      <c r="Y102" s="606"/>
    </row>
    <row r="103" spans="25:25">
      <c r="Y103" s="606"/>
    </row>
    <row r="106" spans="25:25">
      <c r="Y106" s="606"/>
    </row>
    <row r="107" spans="25:25">
      <c r="Y107" s="606"/>
    </row>
    <row r="108" spans="25:25">
      <c r="Y108" s="606"/>
    </row>
    <row r="109" spans="25:25">
      <c r="Y109" s="606"/>
    </row>
    <row r="110" spans="25:25">
      <c r="Y110" s="606"/>
    </row>
    <row r="111" spans="25:25">
      <c r="Y111" s="606"/>
    </row>
    <row r="112" spans="25:25">
      <c r="Y112" s="606"/>
    </row>
    <row r="113" spans="25:25">
      <c r="Y113" s="606"/>
    </row>
    <row r="114" spans="25:25">
      <c r="Y114" s="606"/>
    </row>
    <row r="115" spans="25:25">
      <c r="Y115" s="606"/>
    </row>
    <row r="116" spans="25:25">
      <c r="Y116" s="606"/>
    </row>
    <row r="117" spans="25:25">
      <c r="Y117" s="606"/>
    </row>
    <row r="118" spans="25:25">
      <c r="Y118" s="606"/>
    </row>
    <row r="119" spans="25:25">
      <c r="Y119" s="606"/>
    </row>
    <row r="120" spans="25:25">
      <c r="Y120" s="606"/>
    </row>
    <row r="121" spans="25:25">
      <c r="Y121" s="606"/>
    </row>
    <row r="122" spans="25:25">
      <c r="Y122" s="606"/>
    </row>
    <row r="123" spans="25:25">
      <c r="Y123" s="606"/>
    </row>
    <row r="124" spans="25:25">
      <c r="Y124" s="606"/>
    </row>
    <row r="125" spans="25:25">
      <c r="Y125" s="606"/>
    </row>
    <row r="126" spans="25:25">
      <c r="Y126" s="606"/>
    </row>
    <row r="127" spans="25:25">
      <c r="Y127" s="606"/>
    </row>
    <row r="128" spans="25:25">
      <c r="Y128" s="606"/>
    </row>
    <row r="129" spans="25:25">
      <c r="Y129" s="606"/>
    </row>
    <row r="130" spans="25:25">
      <c r="Y130" s="606"/>
    </row>
    <row r="131" spans="25:25">
      <c r="Y131" s="606"/>
    </row>
    <row r="132" spans="25:25">
      <c r="Y132" s="606"/>
    </row>
    <row r="133" spans="25:25">
      <c r="Y133" s="606"/>
    </row>
    <row r="134" spans="25:25">
      <c r="Y134" s="606"/>
    </row>
    <row r="135" spans="25:25">
      <c r="Y135" s="606"/>
    </row>
    <row r="137" spans="25:25">
      <c r="Y137" s="606"/>
    </row>
    <row r="138" spans="25:25">
      <c r="Y138" s="606"/>
    </row>
    <row r="139" spans="25:25">
      <c r="Y139" s="606"/>
    </row>
    <row r="140" spans="25:25">
      <c r="Y140" s="606"/>
    </row>
    <row r="141" spans="25:25">
      <c r="Y141" s="606"/>
    </row>
    <row r="142" spans="25:25">
      <c r="Y142" s="606"/>
    </row>
    <row r="143" spans="25:25">
      <c r="Y143" s="606"/>
    </row>
    <row r="144" spans="25:25">
      <c r="Y144" s="606"/>
    </row>
    <row r="145" spans="25:25">
      <c r="Y145" s="606"/>
    </row>
    <row r="146" spans="25:25">
      <c r="Y146" s="606"/>
    </row>
    <row r="147" spans="25:25">
      <c r="Y147" s="606"/>
    </row>
    <row r="148" spans="25:25">
      <c r="Y148" s="606"/>
    </row>
    <row r="149" spans="25:25">
      <c r="Y149" s="606"/>
    </row>
    <row r="150" spans="25:25">
      <c r="Y150" s="606"/>
    </row>
    <row r="151" spans="25:25">
      <c r="Y151" s="606"/>
    </row>
    <row r="152" spans="25:25">
      <c r="Y152" s="606"/>
    </row>
    <row r="153" spans="25:25">
      <c r="Y153" s="606"/>
    </row>
    <row r="154" spans="25:25">
      <c r="Y154" s="606"/>
    </row>
    <row r="155" spans="25:25">
      <c r="Y155" s="606"/>
    </row>
    <row r="156" spans="25:25">
      <c r="Y156" s="606"/>
    </row>
    <row r="157" spans="25:25">
      <c r="Y157" s="606"/>
    </row>
    <row r="158" spans="25:25">
      <c r="Y158" s="606"/>
    </row>
    <row r="159" spans="25:25">
      <c r="Y159" s="606"/>
    </row>
    <row r="160" spans="25:25">
      <c r="Y160" s="606"/>
    </row>
    <row r="161" spans="25:25">
      <c r="Y161" s="606"/>
    </row>
    <row r="162" spans="25:25">
      <c r="Y162" s="606"/>
    </row>
    <row r="163" spans="25:25">
      <c r="Y163" s="606"/>
    </row>
    <row r="164" spans="25:25">
      <c r="Y164" s="606"/>
    </row>
    <row r="165" spans="25:25">
      <c r="Y165" s="606"/>
    </row>
    <row r="166" spans="25:25">
      <c r="Y166" s="606"/>
    </row>
  </sheetData>
  <phoneticPr fontId="25" type="noConversion"/>
  <printOptions horizontalCentered="1"/>
  <pageMargins left="0.2" right="0.2" top="0.41" bottom="0.35" header="0.17" footer="0.17"/>
  <pageSetup orientation="landscape"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1"/>
  <dimension ref="A1:U84"/>
  <sheetViews>
    <sheetView view="pageLayout" topLeftCell="A16" zoomScaleNormal="100" workbookViewId="0">
      <selection activeCell="I42" sqref="I42"/>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27" customWidth="1"/>
    <col min="12" max="12" width="12" style="31" hidden="1" customWidth="1" outlineLevel="1"/>
    <col min="13" max="13" width="14.6640625" style="31" hidden="1" customWidth="1" outlineLevel="1"/>
    <col min="14" max="14" width="15.1640625" style="31" hidden="1" customWidth="1" outlineLevel="1"/>
    <col min="15" max="15" width="8.5" style="31" hidden="1" customWidth="1" outlineLevel="1"/>
    <col min="16" max="16" width="2.5" style="31" hidden="1" customWidth="1" outlineLevel="1"/>
    <col min="17" max="17" width="13.5" style="31" bestFit="1" customWidth="1" collapsed="1"/>
    <col min="18" max="18" width="13.5" style="31" bestFit="1" customWidth="1"/>
    <col min="19" max="19" width="12.83203125" style="31" customWidth="1"/>
    <col min="20" max="16384" width="8.83203125" style="31"/>
  </cols>
  <sheetData>
    <row r="1" spans="1:21" ht="12.75" customHeight="1">
      <c r="B1" s="66" t="s">
        <v>25</v>
      </c>
      <c r="C1" s="59"/>
      <c r="D1" s="59"/>
      <c r="E1" s="59"/>
      <c r="F1" s="59"/>
      <c r="G1" s="59"/>
      <c r="H1" s="59"/>
      <c r="I1" s="59"/>
      <c r="J1" s="60"/>
      <c r="K1" s="60"/>
      <c r="L1" s="58"/>
      <c r="M1" s="58"/>
      <c r="N1" s="58"/>
      <c r="O1" s="58"/>
      <c r="P1" s="58"/>
    </row>
    <row r="2" spans="1:21" s="32" customFormat="1" ht="12.75" customHeight="1">
      <c r="B2" s="66" t="s">
        <v>26</v>
      </c>
      <c r="C2" s="59"/>
      <c r="D2" s="59"/>
      <c r="E2" s="59"/>
      <c r="F2" s="59"/>
      <c r="G2" s="59"/>
      <c r="H2" s="59"/>
      <c r="I2" s="59"/>
      <c r="J2" s="62"/>
      <c r="K2" s="60"/>
      <c r="L2" s="58"/>
      <c r="M2" s="58"/>
      <c r="N2" s="58"/>
      <c r="O2" s="58"/>
      <c r="P2" s="58"/>
    </row>
    <row r="3" spans="1:21" s="32" customFormat="1" ht="12.75" customHeight="1">
      <c r="B3" s="683" t="str">
        <f>'1 - Cost of Capital'!B5</f>
        <v>For The 12 Months Ending December 31, 2021</v>
      </c>
      <c r="C3" s="683"/>
      <c r="D3" s="683"/>
      <c r="E3" s="59"/>
      <c r="F3" s="59"/>
      <c r="G3" s="59"/>
      <c r="H3" s="59"/>
      <c r="I3" s="59"/>
      <c r="J3" s="60"/>
      <c r="K3" s="60"/>
      <c r="L3" s="58"/>
      <c r="M3" s="58"/>
      <c r="N3" s="58"/>
      <c r="O3" s="58"/>
      <c r="P3" s="58"/>
    </row>
    <row r="4" spans="1:21" s="32" customFormat="1" ht="12.75" customHeight="1">
      <c r="B4" s="124"/>
      <c r="C4" s="124"/>
      <c r="D4" s="124"/>
      <c r="E4" s="59"/>
      <c r="F4" s="59"/>
      <c r="G4" s="59"/>
      <c r="H4" s="59"/>
      <c r="I4" s="59"/>
      <c r="J4" s="60"/>
      <c r="K4" s="60"/>
      <c r="L4" s="505" t="s">
        <v>228</v>
      </c>
      <c r="M4" s="58"/>
      <c r="N4" s="58"/>
      <c r="O4" s="58"/>
      <c r="P4" s="58"/>
    </row>
    <row r="5" spans="1:21" s="32" customFormat="1" ht="12.75" customHeight="1">
      <c r="A5" s="236">
        <v>1</v>
      </c>
      <c r="B5" s="128" t="s">
        <v>5</v>
      </c>
      <c r="C5" s="128" t="s">
        <v>27</v>
      </c>
      <c r="D5" s="128" t="s">
        <v>52</v>
      </c>
      <c r="E5" s="128" t="s">
        <v>64</v>
      </c>
      <c r="F5" s="128" t="s">
        <v>65</v>
      </c>
      <c r="G5" s="262" t="s">
        <v>66</v>
      </c>
      <c r="H5" s="128" t="s">
        <v>67</v>
      </c>
      <c r="I5" s="128" t="s">
        <v>68</v>
      </c>
      <c r="J5" s="128" t="s">
        <v>69</v>
      </c>
      <c r="K5" s="60"/>
      <c r="L5" s="58"/>
      <c r="M5" s="58"/>
      <c r="N5" s="58"/>
      <c r="O5" s="58"/>
      <c r="P5" s="58"/>
    </row>
    <row r="6" spans="1:21" s="32" customFormat="1" ht="12.75" customHeight="1">
      <c r="A6" s="236">
        <f t="shared" ref="A6:A41" si="0">A5+1</f>
        <v>2</v>
      </c>
      <c r="B6" s="61" t="s">
        <v>2</v>
      </c>
      <c r="C6" s="248" t="s">
        <v>17</v>
      </c>
      <c r="D6" s="249" t="s">
        <v>107</v>
      </c>
      <c r="E6" s="222" t="s">
        <v>143</v>
      </c>
      <c r="F6" s="222" t="s">
        <v>144</v>
      </c>
      <c r="G6" s="222" t="s">
        <v>144</v>
      </c>
      <c r="H6" s="222" t="s">
        <v>70</v>
      </c>
      <c r="I6" s="249" t="s">
        <v>18</v>
      </c>
      <c r="J6" s="60"/>
      <c r="K6" s="60"/>
      <c r="L6" s="504" t="s">
        <v>225</v>
      </c>
      <c r="M6" s="58"/>
      <c r="N6" s="58"/>
      <c r="O6" s="58"/>
      <c r="P6" s="58"/>
    </row>
    <row r="7" spans="1:21" s="32" customFormat="1" ht="12.75" customHeight="1">
      <c r="A7" s="236">
        <f t="shared" si="0"/>
        <v>3</v>
      </c>
      <c r="B7" s="114" t="s">
        <v>17</v>
      </c>
      <c r="C7" s="63" t="s">
        <v>108</v>
      </c>
      <c r="D7" s="63" t="s">
        <v>108</v>
      </c>
      <c r="E7" s="63" t="s">
        <v>108</v>
      </c>
      <c r="F7" s="63" t="s">
        <v>17</v>
      </c>
      <c r="G7" s="63" t="s">
        <v>108</v>
      </c>
      <c r="H7" s="63" t="s">
        <v>145</v>
      </c>
      <c r="I7" s="63" t="s">
        <v>142</v>
      </c>
      <c r="J7" s="64" t="s">
        <v>56</v>
      </c>
      <c r="K7" s="60"/>
      <c r="L7" s="504" t="s">
        <v>226</v>
      </c>
      <c r="M7" s="58"/>
      <c r="N7" s="58"/>
      <c r="O7" s="500">
        <v>40543</v>
      </c>
      <c r="P7" s="58"/>
    </row>
    <row r="8" spans="1:21" s="32" customFormat="1" ht="12.75" customHeight="1">
      <c r="A8" s="236">
        <f t="shared" si="0"/>
        <v>4</v>
      </c>
      <c r="B8" s="115"/>
      <c r="C8" s="116"/>
      <c r="D8" s="116"/>
      <c r="E8" s="116"/>
      <c r="F8" s="116"/>
      <c r="G8" s="116"/>
      <c r="H8" s="299"/>
      <c r="I8" s="65"/>
      <c r="J8" s="117"/>
      <c r="K8" s="235"/>
      <c r="L8" s="501">
        <v>40543</v>
      </c>
      <c r="M8" s="499" t="s">
        <v>222</v>
      </c>
      <c r="N8" s="499" t="s">
        <v>223</v>
      </c>
      <c r="O8" s="499" t="s">
        <v>227</v>
      </c>
      <c r="P8" s="499" t="s">
        <v>224</v>
      </c>
    </row>
    <row r="9" spans="1:21" s="32" customFormat="1" ht="12.75" customHeight="1">
      <c r="A9" s="236">
        <f>A8+1</f>
        <v>5</v>
      </c>
      <c r="B9" s="115">
        <v>0.10249999999999999</v>
      </c>
      <c r="C9" s="116">
        <v>32140</v>
      </c>
      <c r="D9" s="116">
        <v>35779</v>
      </c>
      <c r="E9" s="116">
        <v>35048</v>
      </c>
      <c r="F9" s="116"/>
      <c r="G9" s="116"/>
      <c r="H9" s="299">
        <v>42684</v>
      </c>
      <c r="I9" s="300">
        <v>0</v>
      </c>
      <c r="J9" s="117">
        <v>18900013</v>
      </c>
      <c r="K9" s="235"/>
      <c r="L9" s="498"/>
      <c r="M9" s="503"/>
      <c r="N9" s="503"/>
      <c r="O9" s="502"/>
      <c r="P9" s="503"/>
      <c r="Q9" s="300"/>
      <c r="R9" s="300"/>
      <c r="S9" s="570"/>
    </row>
    <row r="10" spans="1:21" s="32" customFormat="1" ht="12.75" customHeight="1">
      <c r="A10" s="236">
        <f t="shared" si="0"/>
        <v>6</v>
      </c>
      <c r="B10" s="115" t="s">
        <v>124</v>
      </c>
      <c r="C10" s="116">
        <v>35587</v>
      </c>
      <c r="D10" s="116">
        <v>46539</v>
      </c>
      <c r="E10" s="116">
        <v>39234</v>
      </c>
      <c r="F10" s="116" t="s">
        <v>133</v>
      </c>
      <c r="G10" s="116">
        <v>39237</v>
      </c>
      <c r="H10" s="299">
        <v>42887</v>
      </c>
      <c r="I10" s="300">
        <v>0</v>
      </c>
      <c r="J10" s="117">
        <v>18900383</v>
      </c>
      <c r="K10" s="235"/>
      <c r="L10" s="498"/>
      <c r="M10" s="503"/>
      <c r="N10" s="503"/>
      <c r="O10" s="502"/>
      <c r="P10" s="503"/>
      <c r="Q10" s="590"/>
      <c r="R10" s="589"/>
      <c r="S10" s="570"/>
    </row>
    <row r="11" spans="1:21" s="32" customFormat="1" ht="12.75" customHeight="1">
      <c r="A11" s="236">
        <f t="shared" si="0"/>
        <v>7</v>
      </c>
      <c r="B11" s="115" t="s">
        <v>138</v>
      </c>
      <c r="C11" s="116">
        <v>33410</v>
      </c>
      <c r="D11" s="116">
        <v>37063</v>
      </c>
      <c r="E11" s="116">
        <v>35961</v>
      </c>
      <c r="F11" s="116" t="s">
        <v>134</v>
      </c>
      <c r="G11" s="116">
        <v>35961</v>
      </c>
      <c r="H11" s="299">
        <v>43266</v>
      </c>
      <c r="I11" s="300">
        <v>0</v>
      </c>
      <c r="J11" s="117">
        <v>18900243</v>
      </c>
      <c r="K11" s="235"/>
      <c r="L11" s="498"/>
      <c r="M11" s="503"/>
      <c r="N11" s="503"/>
      <c r="O11" s="502"/>
      <c r="P11" s="503"/>
      <c r="Q11" s="300"/>
      <c r="R11" s="589"/>
      <c r="S11" s="570"/>
    </row>
    <row r="12" spans="1:21" s="235" customFormat="1" ht="12.75" customHeight="1">
      <c r="A12" s="236">
        <f t="shared" si="0"/>
        <v>8</v>
      </c>
      <c r="B12" s="301" t="s">
        <v>44</v>
      </c>
      <c r="C12" s="116">
        <v>33616</v>
      </c>
      <c r="D12" s="116">
        <f>DATE(2022,1,12)</f>
        <v>44573</v>
      </c>
      <c r="E12" s="302">
        <v>37701</v>
      </c>
      <c r="F12" s="302"/>
      <c r="G12" s="302"/>
      <c r="H12" s="299">
        <f>DATE(2022,1,12)</f>
        <v>44573</v>
      </c>
      <c r="I12" s="300">
        <v>1141.08</v>
      </c>
      <c r="J12" s="117">
        <v>18900293</v>
      </c>
      <c r="K12" s="626"/>
      <c r="L12" s="498"/>
      <c r="M12" s="618"/>
      <c r="N12" s="618"/>
      <c r="O12" s="619"/>
      <c r="P12" s="618"/>
      <c r="Q12" s="300"/>
      <c r="R12" s="300"/>
      <c r="S12" s="300"/>
      <c r="T12" s="570"/>
      <c r="U12" s="32"/>
    </row>
    <row r="13" spans="1:21" s="235" customFormat="1" ht="12.75" customHeight="1">
      <c r="A13" s="236">
        <f t="shared" si="0"/>
        <v>9</v>
      </c>
      <c r="B13" s="301" t="s">
        <v>45</v>
      </c>
      <c r="C13" s="116">
        <v>33616</v>
      </c>
      <c r="D13" s="116">
        <f>DATE(2022,1,13)</f>
        <v>44574</v>
      </c>
      <c r="E13" s="302">
        <v>37701</v>
      </c>
      <c r="F13" s="302"/>
      <c r="G13" s="302"/>
      <c r="H13" s="299">
        <f>DATE(2022,1,13)</f>
        <v>44574</v>
      </c>
      <c r="I13" s="300">
        <v>2662.56</v>
      </c>
      <c r="J13" s="117">
        <v>18900303</v>
      </c>
      <c r="K13" s="626"/>
      <c r="L13" s="620"/>
      <c r="M13" s="618"/>
      <c r="N13" s="618"/>
      <c r="O13" s="619"/>
      <c r="P13" s="618"/>
      <c r="Q13" s="300"/>
      <c r="R13" s="590"/>
      <c r="S13" s="589"/>
      <c r="T13" s="570"/>
      <c r="U13" s="32"/>
    </row>
    <row r="14" spans="1:21" s="235" customFormat="1" ht="12.75" customHeight="1">
      <c r="A14" s="236">
        <f t="shared" si="0"/>
        <v>10</v>
      </c>
      <c r="B14" s="301" t="s">
        <v>125</v>
      </c>
      <c r="C14" s="116">
        <v>33828</v>
      </c>
      <c r="D14" s="116">
        <v>44785</v>
      </c>
      <c r="E14" s="302">
        <v>37770</v>
      </c>
      <c r="F14" s="302"/>
      <c r="G14" s="302"/>
      <c r="H14" s="299">
        <v>44785</v>
      </c>
      <c r="I14" s="300">
        <v>62485.68</v>
      </c>
      <c r="J14" s="117">
        <v>18900323</v>
      </c>
      <c r="K14" s="626"/>
      <c r="L14" s="620"/>
      <c r="M14" s="618"/>
      <c r="N14" s="618"/>
      <c r="O14" s="619"/>
      <c r="P14" s="618"/>
      <c r="Q14" s="300"/>
      <c r="R14" s="300"/>
      <c r="S14" s="589"/>
      <c r="T14" s="570"/>
      <c r="U14" s="32"/>
    </row>
    <row r="15" spans="1:21" s="235" customFormat="1" ht="12.75" customHeight="1">
      <c r="A15" s="236">
        <f t="shared" si="0"/>
        <v>11</v>
      </c>
      <c r="B15" s="301" t="s">
        <v>146</v>
      </c>
      <c r="C15" s="116">
        <v>34199</v>
      </c>
      <c r="D15" s="116">
        <v>45156</v>
      </c>
      <c r="E15" s="302">
        <v>37851</v>
      </c>
      <c r="H15" s="299">
        <v>45156</v>
      </c>
      <c r="I15" s="300">
        <v>10655.88</v>
      </c>
      <c r="J15" s="117">
        <v>18900353</v>
      </c>
      <c r="K15" s="626"/>
      <c r="L15" s="620"/>
      <c r="M15" s="618"/>
      <c r="N15" s="618"/>
      <c r="O15" s="619"/>
      <c r="P15" s="618"/>
      <c r="Q15" s="300"/>
      <c r="R15" s="300"/>
      <c r="S15" s="589"/>
      <c r="T15" s="570"/>
      <c r="U15" s="32"/>
    </row>
    <row r="16" spans="1:21" s="235" customFormat="1" ht="12.75" customHeight="1">
      <c r="A16" s="236">
        <f t="shared" si="0"/>
        <v>12</v>
      </c>
      <c r="B16" s="115" t="s">
        <v>139</v>
      </c>
      <c r="C16" s="116">
        <v>33161</v>
      </c>
      <c r="D16" s="116">
        <v>35718</v>
      </c>
      <c r="E16" s="116">
        <v>34372</v>
      </c>
      <c r="F16" s="116" t="s">
        <v>135</v>
      </c>
      <c r="G16" s="116">
        <v>34366</v>
      </c>
      <c r="H16" s="299">
        <v>45323</v>
      </c>
      <c r="I16" s="300">
        <v>168880.08</v>
      </c>
      <c r="J16" s="117">
        <v>18900173</v>
      </c>
      <c r="K16" s="626"/>
      <c r="L16" s="498"/>
      <c r="M16" s="618"/>
      <c r="N16" s="618"/>
      <c r="O16" s="619"/>
      <c r="P16" s="618"/>
      <c r="Q16" s="300"/>
      <c r="R16" s="300"/>
      <c r="S16" s="589"/>
      <c r="T16" s="32"/>
      <c r="U16" s="32"/>
    </row>
    <row r="17" spans="1:21" s="235" customFormat="1" ht="12.75" customHeight="1">
      <c r="A17" s="236">
        <f t="shared" si="0"/>
        <v>13</v>
      </c>
      <c r="B17" s="115" t="s">
        <v>123</v>
      </c>
      <c r="C17" s="116">
        <v>35587</v>
      </c>
      <c r="D17" s="116">
        <v>46539</v>
      </c>
      <c r="E17" s="116">
        <v>38504</v>
      </c>
      <c r="F17" s="116"/>
      <c r="G17" s="116"/>
      <c r="H17" s="299">
        <v>46539</v>
      </c>
      <c r="I17" s="300">
        <v>229804.2</v>
      </c>
      <c r="J17" s="117">
        <v>18900193</v>
      </c>
      <c r="K17" s="626"/>
      <c r="L17" s="498"/>
      <c r="M17" s="618"/>
      <c r="N17" s="618"/>
      <c r="O17" s="619"/>
      <c r="P17" s="618"/>
      <c r="Q17" s="300"/>
      <c r="R17" s="300"/>
      <c r="S17" s="589"/>
      <c r="T17" s="32"/>
      <c r="U17" s="32"/>
    </row>
    <row r="18" spans="1:21" s="235" customFormat="1" ht="12.75" customHeight="1">
      <c r="A18" s="236">
        <f t="shared" si="0"/>
        <v>14</v>
      </c>
      <c r="B18" s="301" t="s">
        <v>40</v>
      </c>
      <c r="C18" s="116">
        <v>33457</v>
      </c>
      <c r="D18" s="116">
        <f>DATE(2021,8,1)</f>
        <v>44409</v>
      </c>
      <c r="E18" s="302">
        <v>37691</v>
      </c>
      <c r="F18" s="302" t="s">
        <v>136</v>
      </c>
      <c r="G18" s="302">
        <v>37691</v>
      </c>
      <c r="H18" s="299">
        <v>47908</v>
      </c>
      <c r="I18" s="300">
        <v>45480.480000000003</v>
      </c>
      <c r="J18" s="117">
        <v>18900253</v>
      </c>
      <c r="K18" s="626"/>
      <c r="L18" s="498"/>
      <c r="M18" s="618"/>
      <c r="N18" s="618"/>
      <c r="O18" s="619"/>
      <c r="P18" s="618"/>
      <c r="Q18" s="300"/>
      <c r="R18" s="300"/>
      <c r="S18" s="589"/>
      <c r="T18" s="32"/>
      <c r="U18" s="32"/>
    </row>
    <row r="19" spans="1:21" s="235" customFormat="1" ht="12.75" customHeight="1">
      <c r="A19" s="236">
        <f t="shared" si="0"/>
        <v>15</v>
      </c>
      <c r="B19" s="301" t="s">
        <v>41</v>
      </c>
      <c r="C19" s="116">
        <v>33457</v>
      </c>
      <c r="D19" s="116">
        <f>DATE(2021,8,1)</f>
        <v>44409</v>
      </c>
      <c r="E19" s="302">
        <v>37691</v>
      </c>
      <c r="F19" s="302" t="s">
        <v>136</v>
      </c>
      <c r="G19" s="302">
        <v>37691</v>
      </c>
      <c r="H19" s="299">
        <v>47908</v>
      </c>
      <c r="I19" s="300">
        <v>34561.440000000002</v>
      </c>
      <c r="J19" s="117">
        <v>18900263</v>
      </c>
      <c r="K19" s="626"/>
      <c r="L19" s="498"/>
      <c r="M19" s="618"/>
      <c r="N19" s="618"/>
      <c r="O19" s="619"/>
      <c r="P19" s="618"/>
      <c r="Q19" s="300"/>
      <c r="R19" s="300"/>
      <c r="S19" s="589"/>
      <c r="T19" s="32"/>
      <c r="U19" s="32"/>
    </row>
    <row r="20" spans="1:21" s="235" customFormat="1" ht="12.75" customHeight="1">
      <c r="A20" s="236">
        <f t="shared" si="0"/>
        <v>16</v>
      </c>
      <c r="B20" s="301" t="s">
        <v>42</v>
      </c>
      <c r="C20" s="116">
        <v>33664</v>
      </c>
      <c r="D20" s="116">
        <f>DATE(2022,3,1)</f>
        <v>44621</v>
      </c>
      <c r="E20" s="302">
        <v>37691</v>
      </c>
      <c r="F20" s="302" t="s">
        <v>136</v>
      </c>
      <c r="G20" s="302">
        <v>37691</v>
      </c>
      <c r="H20" s="299">
        <v>47908</v>
      </c>
      <c r="I20" s="300">
        <v>105825.48</v>
      </c>
      <c r="J20" s="117">
        <v>18900273</v>
      </c>
      <c r="K20" s="626"/>
      <c r="L20" s="498"/>
      <c r="M20" s="618"/>
      <c r="N20" s="618"/>
      <c r="O20" s="619"/>
      <c r="P20" s="618"/>
      <c r="Q20" s="300"/>
      <c r="R20" s="300"/>
      <c r="S20" s="589"/>
      <c r="T20" s="32"/>
      <c r="U20" s="32"/>
    </row>
    <row r="21" spans="1:21" s="235" customFormat="1" ht="12.75" customHeight="1">
      <c r="A21" s="236">
        <f t="shared" si="0"/>
        <v>17</v>
      </c>
      <c r="B21" s="301" t="s">
        <v>43</v>
      </c>
      <c r="C21" s="116">
        <v>33664</v>
      </c>
      <c r="D21" s="116">
        <f>DATE(2022,3,1)</f>
        <v>44621</v>
      </c>
      <c r="E21" s="302">
        <v>37691</v>
      </c>
      <c r="F21" s="302" t="s">
        <v>136</v>
      </c>
      <c r="G21" s="302">
        <v>37691</v>
      </c>
      <c r="H21" s="299">
        <v>47908</v>
      </c>
      <c r="I21" s="300">
        <v>32297.759999999998</v>
      </c>
      <c r="J21" s="117">
        <v>18900283</v>
      </c>
      <c r="K21" s="626"/>
      <c r="L21" s="498"/>
      <c r="M21" s="618"/>
      <c r="N21" s="618"/>
      <c r="O21" s="619"/>
      <c r="P21" s="618"/>
      <c r="Q21" s="300"/>
      <c r="R21" s="300"/>
    </row>
    <row r="22" spans="1:21" s="235" customFormat="1" ht="12.75" customHeight="1">
      <c r="A22" s="236">
        <f t="shared" si="0"/>
        <v>18</v>
      </c>
      <c r="B22" s="301" t="s">
        <v>264</v>
      </c>
      <c r="C22" s="116">
        <v>37691</v>
      </c>
      <c r="D22" s="116">
        <v>47908</v>
      </c>
      <c r="E22" s="302">
        <v>41449</v>
      </c>
      <c r="F22" s="302" t="s">
        <v>265</v>
      </c>
      <c r="G22" s="302">
        <v>41417</v>
      </c>
      <c r="H22" s="299">
        <v>47908</v>
      </c>
      <c r="I22" s="300">
        <v>299128.68</v>
      </c>
      <c r="J22" s="117">
        <v>18900433</v>
      </c>
      <c r="K22" s="626"/>
      <c r="L22" s="498"/>
      <c r="M22" s="618"/>
      <c r="N22" s="618"/>
      <c r="O22" s="619"/>
      <c r="P22" s="618"/>
      <c r="Q22" s="300"/>
      <c r="R22" s="300"/>
    </row>
    <row r="23" spans="1:21" s="235" customFormat="1" ht="12.75" customHeight="1">
      <c r="A23" s="236">
        <f t="shared" si="0"/>
        <v>19</v>
      </c>
      <c r="B23" s="301" t="s">
        <v>264</v>
      </c>
      <c r="C23" s="116">
        <v>37691</v>
      </c>
      <c r="D23" s="116">
        <v>47908</v>
      </c>
      <c r="E23" s="302">
        <v>41449</v>
      </c>
      <c r="F23" s="302" t="s">
        <v>265</v>
      </c>
      <c r="G23" s="302">
        <v>41417</v>
      </c>
      <c r="H23" s="299">
        <v>47908</v>
      </c>
      <c r="I23" s="300">
        <v>50553.24</v>
      </c>
      <c r="J23" s="117">
        <v>18900533</v>
      </c>
      <c r="K23" s="626"/>
      <c r="L23" s="498"/>
      <c r="M23" s="618"/>
      <c r="N23" s="618"/>
      <c r="O23" s="619"/>
      <c r="P23" s="618"/>
      <c r="Q23" s="300"/>
      <c r="R23" s="300"/>
    </row>
    <row r="24" spans="1:21" s="235" customFormat="1" ht="12.75" customHeight="1">
      <c r="A24" s="236">
        <f>A23+1</f>
        <v>20</v>
      </c>
      <c r="B24" s="115" t="s">
        <v>101</v>
      </c>
      <c r="C24" s="116">
        <v>38183</v>
      </c>
      <c r="D24" s="116">
        <v>38913</v>
      </c>
      <c r="E24" s="116">
        <v>38499</v>
      </c>
      <c r="F24" s="116" t="s">
        <v>102</v>
      </c>
      <c r="G24" s="116">
        <v>38499</v>
      </c>
      <c r="H24" s="299">
        <v>49456</v>
      </c>
      <c r="I24" s="300">
        <f>17086.56</f>
        <v>17086.560000000001</v>
      </c>
      <c r="J24" s="117">
        <v>18900183</v>
      </c>
      <c r="K24" s="626"/>
      <c r="L24" s="498"/>
      <c r="M24" s="618"/>
      <c r="N24" s="618"/>
      <c r="O24" s="619"/>
      <c r="P24" s="618"/>
      <c r="Q24" s="300"/>
      <c r="R24" s="300"/>
    </row>
    <row r="25" spans="1:21" s="235" customFormat="1" ht="12.75" customHeight="1">
      <c r="A25" s="236">
        <f t="shared" si="0"/>
        <v>21</v>
      </c>
      <c r="B25" s="115" t="s">
        <v>29</v>
      </c>
      <c r="C25" s="116">
        <v>37035</v>
      </c>
      <c r="D25" s="116">
        <v>51682</v>
      </c>
      <c r="E25" s="116">
        <v>38898</v>
      </c>
      <c r="F25" s="116" t="s">
        <v>137</v>
      </c>
      <c r="G25" s="116">
        <v>38898</v>
      </c>
      <c r="H25" s="299">
        <v>49841</v>
      </c>
      <c r="I25" s="300">
        <f>(16418.45*12)</f>
        <v>197021.40000000002</v>
      </c>
      <c r="J25" s="117">
        <v>18900373</v>
      </c>
      <c r="K25" s="626"/>
      <c r="L25" s="498"/>
      <c r="M25" s="618"/>
      <c r="N25" s="618"/>
      <c r="O25" s="619"/>
      <c r="P25" s="618"/>
      <c r="Q25" s="300"/>
      <c r="R25" s="300"/>
    </row>
    <row r="26" spans="1:21" s="235" customFormat="1" ht="12.75" customHeight="1">
      <c r="A26" s="236">
        <f t="shared" si="0"/>
        <v>22</v>
      </c>
      <c r="B26" s="115" t="s">
        <v>256</v>
      </c>
      <c r="C26" s="116">
        <v>33117</v>
      </c>
      <c r="D26" s="116">
        <v>44075</v>
      </c>
      <c r="E26" s="116">
        <v>40900</v>
      </c>
      <c r="F26" s="116" t="s">
        <v>257</v>
      </c>
      <c r="G26" s="116">
        <v>40869</v>
      </c>
      <c r="H26" s="299">
        <v>55472</v>
      </c>
      <c r="I26" s="300">
        <v>400518.84</v>
      </c>
      <c r="J26" s="117">
        <v>18900393</v>
      </c>
      <c r="K26" s="626"/>
      <c r="L26" s="498"/>
      <c r="M26" s="619"/>
      <c r="N26" s="619"/>
      <c r="O26" s="619"/>
      <c r="P26" s="619"/>
      <c r="Q26" s="300"/>
      <c r="R26" s="300"/>
    </row>
    <row r="27" spans="1:21" s="235" customFormat="1" ht="12.75" customHeight="1">
      <c r="A27" s="236">
        <f t="shared" si="0"/>
        <v>23</v>
      </c>
      <c r="B27" s="115" t="s">
        <v>296</v>
      </c>
      <c r="C27" s="116">
        <v>38637</v>
      </c>
      <c r="D27" s="116">
        <v>42278</v>
      </c>
      <c r="E27" s="116">
        <v>42160</v>
      </c>
      <c r="F27" s="116" t="s">
        <v>298</v>
      </c>
      <c r="G27" s="116">
        <v>42150</v>
      </c>
      <c r="H27" s="299">
        <v>53102</v>
      </c>
      <c r="I27" s="300">
        <v>82302.48</v>
      </c>
      <c r="J27" s="117">
        <v>18900203</v>
      </c>
      <c r="K27" s="626"/>
      <c r="L27" s="498"/>
      <c r="M27" s="619"/>
      <c r="N27" s="619"/>
      <c r="O27" s="619"/>
      <c r="P27" s="619"/>
      <c r="Q27" s="300"/>
      <c r="R27" s="300"/>
    </row>
    <row r="28" spans="1:21" s="235" customFormat="1" ht="12.75" customHeight="1">
      <c r="A28" s="236">
        <f t="shared" si="0"/>
        <v>24</v>
      </c>
      <c r="B28" s="115" t="s">
        <v>297</v>
      </c>
      <c r="C28" s="116">
        <v>39836</v>
      </c>
      <c r="D28" s="116">
        <v>42384</v>
      </c>
      <c r="E28" s="116">
        <v>42160</v>
      </c>
      <c r="F28" s="116" t="s">
        <v>298</v>
      </c>
      <c r="G28" s="116">
        <v>42150</v>
      </c>
      <c r="H28" s="299">
        <v>53102</v>
      </c>
      <c r="I28" s="300">
        <v>316649.76</v>
      </c>
      <c r="J28" s="117">
        <v>18900213</v>
      </c>
      <c r="K28" s="626"/>
      <c r="L28" s="498"/>
      <c r="M28" s="619"/>
      <c r="N28" s="619"/>
      <c r="O28" s="619"/>
      <c r="P28" s="619"/>
      <c r="Q28" s="300"/>
      <c r="R28" s="300"/>
    </row>
    <row r="29" spans="1:21" s="235" customFormat="1" ht="12.75" customHeight="1">
      <c r="A29" s="236">
        <f t="shared" si="0"/>
        <v>25</v>
      </c>
      <c r="B29" s="115" t="s">
        <v>122</v>
      </c>
      <c r="C29" s="116">
        <v>39237</v>
      </c>
      <c r="D29" s="116">
        <v>24624</v>
      </c>
      <c r="E29" s="116">
        <v>43217</v>
      </c>
      <c r="F29" s="116"/>
      <c r="G29" s="116"/>
      <c r="H29" s="299">
        <v>61149</v>
      </c>
      <c r="I29" s="300">
        <v>100652.64</v>
      </c>
      <c r="J29" s="117">
        <v>18900233</v>
      </c>
      <c r="K29" s="626"/>
      <c r="L29" s="498"/>
      <c r="M29" s="619"/>
      <c r="N29" s="619"/>
      <c r="O29" s="619"/>
      <c r="P29" s="619"/>
      <c r="Q29" s="300"/>
      <c r="R29" s="300"/>
    </row>
    <row r="30" spans="1:21" s="235" customFormat="1" ht="12.75" customHeight="1">
      <c r="A30" s="236">
        <v>26</v>
      </c>
      <c r="B30" s="115"/>
      <c r="C30" s="116"/>
      <c r="D30" s="116"/>
      <c r="E30" s="116"/>
      <c r="F30" s="116"/>
      <c r="G30" s="116"/>
      <c r="H30" s="299"/>
      <c r="I30" s="300"/>
      <c r="J30" s="117"/>
      <c r="K30" s="626"/>
      <c r="L30" s="498"/>
      <c r="M30" s="619"/>
      <c r="N30" s="619"/>
      <c r="O30" s="619"/>
      <c r="P30" s="619"/>
      <c r="Q30" s="300"/>
      <c r="R30" s="300"/>
    </row>
    <row r="31" spans="1:21" s="32" customFormat="1" ht="12.75" customHeight="1">
      <c r="A31" s="236">
        <f t="shared" si="0"/>
        <v>27</v>
      </c>
      <c r="B31" s="115"/>
      <c r="C31" s="116"/>
      <c r="D31" s="116"/>
      <c r="E31" s="116"/>
      <c r="F31" s="116"/>
      <c r="G31" s="116"/>
      <c r="H31" s="299"/>
      <c r="I31" s="303"/>
      <c r="J31" s="304"/>
      <c r="K31" s="235"/>
    </row>
    <row r="32" spans="1:21" s="32" customFormat="1" ht="15" customHeight="1" thickBot="1">
      <c r="A32" s="236">
        <f t="shared" si="0"/>
        <v>28</v>
      </c>
      <c r="B32" s="113" t="s">
        <v>28</v>
      </c>
      <c r="C32" s="118"/>
      <c r="D32" s="118"/>
      <c r="E32" s="118"/>
      <c r="F32" s="118"/>
      <c r="G32" s="118"/>
      <c r="H32" s="118"/>
      <c r="I32" s="305">
        <f>SUM(I8:I31)</f>
        <v>2157708.2400000002</v>
      </c>
      <c r="J32" s="120"/>
      <c r="K32" s="235"/>
    </row>
    <row r="33" spans="1:11" s="32" customFormat="1" ht="12.75" customHeight="1" thickTop="1">
      <c r="A33" s="236">
        <f t="shared" si="0"/>
        <v>29</v>
      </c>
      <c r="B33" s="121"/>
      <c r="C33" s="122"/>
      <c r="D33" s="122"/>
      <c r="E33" s="122"/>
      <c r="F33" s="122"/>
      <c r="G33" s="122"/>
      <c r="H33" s="122"/>
      <c r="I33" s="65"/>
      <c r="J33" s="119"/>
      <c r="K33" s="235"/>
    </row>
    <row r="34" spans="1:11" s="32" customFormat="1" ht="12.75" customHeight="1">
      <c r="A34" s="236">
        <f t="shared" si="0"/>
        <v>30</v>
      </c>
      <c r="B34" s="121" t="s">
        <v>308</v>
      </c>
      <c r="C34" s="122"/>
      <c r="D34" s="122"/>
      <c r="E34" s="122"/>
      <c r="F34" s="122"/>
      <c r="G34" s="122"/>
      <c r="H34" s="122"/>
      <c r="I34" s="300">
        <f>'1 - Cost of Capital'!C30</f>
        <v>9102060780</v>
      </c>
      <c r="J34" s="119"/>
      <c r="K34" s="235"/>
    </row>
    <row r="35" spans="1:11" s="32" customFormat="1" ht="12.75" customHeight="1">
      <c r="A35" s="236">
        <v>27</v>
      </c>
      <c r="B35" s="121"/>
      <c r="C35" s="122"/>
      <c r="D35" s="122"/>
      <c r="E35" s="122"/>
      <c r="F35" s="122"/>
      <c r="G35" s="122"/>
      <c r="H35" s="122"/>
      <c r="I35" s="65"/>
      <c r="J35" s="119"/>
      <c r="K35" s="235"/>
    </row>
    <row r="36" spans="1:11" s="32" customFormat="1" ht="12.75" customHeight="1">
      <c r="A36" s="236">
        <f t="shared" si="0"/>
        <v>28</v>
      </c>
      <c r="B36" s="121" t="s">
        <v>311</v>
      </c>
      <c r="C36" s="122"/>
      <c r="D36" s="122"/>
      <c r="E36" s="122"/>
      <c r="F36" s="122"/>
      <c r="G36" s="122"/>
      <c r="H36" s="122"/>
      <c r="I36" s="583">
        <f>ROUND(I32/I34,4)</f>
        <v>2.0000000000000001E-4</v>
      </c>
      <c r="J36" s="599"/>
      <c r="K36" s="235"/>
    </row>
    <row r="37" spans="1:11" s="32" customFormat="1" ht="12.75" customHeight="1">
      <c r="A37" s="236">
        <f t="shared" si="0"/>
        <v>29</v>
      </c>
      <c r="B37" s="121"/>
      <c r="C37" s="122"/>
      <c r="D37" s="122"/>
      <c r="E37" s="122"/>
      <c r="F37" s="122"/>
      <c r="G37" s="122"/>
      <c r="H37" s="122"/>
      <c r="I37" s="65"/>
      <c r="J37" s="119"/>
      <c r="K37" s="235"/>
    </row>
    <row r="38" spans="1:11" s="32" customFormat="1" ht="12.75" customHeight="1">
      <c r="A38" s="236">
        <f t="shared" si="0"/>
        <v>30</v>
      </c>
      <c r="C38" s="58"/>
      <c r="D38" s="58"/>
      <c r="E38" s="58"/>
      <c r="F38" s="58"/>
      <c r="G38" s="58"/>
      <c r="H38" s="149"/>
      <c r="I38" s="65"/>
      <c r="J38" s="119"/>
      <c r="K38" s="235"/>
    </row>
    <row r="39" spans="1:11" s="32" customFormat="1" ht="12.75" customHeight="1">
      <c r="A39" s="236">
        <f t="shared" si="0"/>
        <v>31</v>
      </c>
      <c r="B39" s="234"/>
      <c r="C39" s="235"/>
      <c r="D39" s="235"/>
      <c r="E39" s="235"/>
      <c r="F39" s="235"/>
      <c r="H39" s="33"/>
      <c r="I39" s="65"/>
      <c r="K39" s="235"/>
    </row>
    <row r="40" spans="1:11" s="32" customFormat="1" ht="12.75" customHeight="1">
      <c r="A40" s="236">
        <v>28</v>
      </c>
      <c r="B40" s="58" t="s">
        <v>141</v>
      </c>
      <c r="H40" s="33"/>
      <c r="I40" s="65"/>
      <c r="J40" s="117"/>
      <c r="K40" s="235"/>
    </row>
    <row r="41" spans="1:11" s="32" customFormat="1" ht="12.75" customHeight="1">
      <c r="A41" s="236">
        <f t="shared" si="0"/>
        <v>29</v>
      </c>
      <c r="B41" s="265" t="s">
        <v>140</v>
      </c>
      <c r="H41" s="33"/>
      <c r="I41" s="33"/>
      <c r="K41" s="235"/>
    </row>
    <row r="42" spans="1:11" s="32" customFormat="1" ht="12.75" customHeight="1">
      <c r="A42" s="237"/>
      <c r="H42" s="33"/>
      <c r="I42" s="33"/>
      <c r="K42" s="235"/>
    </row>
    <row r="43" spans="1:11" s="32" customFormat="1" ht="12.75" customHeight="1">
      <c r="H43" s="33"/>
      <c r="I43" s="33"/>
      <c r="K43" s="235"/>
    </row>
    <row r="44" spans="1:11" s="32" customFormat="1" ht="12.75" customHeight="1">
      <c r="H44" s="33"/>
      <c r="I44" s="224"/>
      <c r="K44" s="235"/>
    </row>
    <row r="45" spans="1:11" s="32" customFormat="1" ht="12.75" customHeight="1">
      <c r="H45" s="33"/>
      <c r="I45" s="33"/>
      <c r="K45" s="235"/>
    </row>
    <row r="46" spans="1:11" s="32" customFormat="1" ht="12.75" customHeight="1">
      <c r="H46" s="33"/>
      <c r="I46" s="33"/>
      <c r="K46" s="235"/>
    </row>
    <row r="47" spans="1:11" s="32" customFormat="1" ht="12.75" customHeight="1">
      <c r="H47" s="33"/>
      <c r="I47" s="33"/>
      <c r="K47" s="235"/>
    </row>
    <row r="48" spans="1:11" s="32" customFormat="1" ht="12.75" customHeight="1">
      <c r="H48" s="33"/>
      <c r="I48" s="33"/>
      <c r="K48" s="235"/>
    </row>
    <row r="49" spans="8:11" s="32" customFormat="1" ht="12.75" customHeight="1">
      <c r="H49" s="33"/>
      <c r="I49" s="33"/>
      <c r="K49" s="235"/>
    </row>
    <row r="50" spans="8:11" s="32" customFormat="1" ht="12.75" customHeight="1">
      <c r="H50" s="33"/>
      <c r="I50" s="33"/>
      <c r="K50" s="235"/>
    </row>
    <row r="51" spans="8:11" s="32" customFormat="1" ht="12.75" customHeight="1">
      <c r="H51" s="33"/>
      <c r="I51" s="33"/>
      <c r="K51" s="235"/>
    </row>
    <row r="52" spans="8:11" s="32" customFormat="1" ht="12.75" customHeight="1">
      <c r="H52" s="33"/>
      <c r="I52" s="33"/>
      <c r="K52" s="235"/>
    </row>
    <row r="53" spans="8:11" s="32" customFormat="1" ht="12.75" customHeight="1">
      <c r="K53" s="235"/>
    </row>
    <row r="54" spans="8:11" s="32" customFormat="1" ht="12.75" customHeight="1">
      <c r="K54" s="235"/>
    </row>
    <row r="55" spans="8:11" s="32" customFormat="1" ht="12.75" customHeight="1">
      <c r="K55" s="235"/>
    </row>
    <row r="56" spans="8:11" s="32" customFormat="1" ht="12.75" customHeight="1">
      <c r="K56" s="235"/>
    </row>
    <row r="57" spans="8:11" s="32" customFormat="1" ht="12.75" customHeight="1">
      <c r="K57" s="235"/>
    </row>
    <row r="58" spans="8:11" s="32" customFormat="1" ht="12.75" customHeight="1">
      <c r="K58" s="235"/>
    </row>
    <row r="59" spans="8:11" s="32" customFormat="1" ht="12.75" customHeight="1">
      <c r="K59" s="235"/>
    </row>
    <row r="60" spans="8:11" s="32" customFormat="1" ht="15.75">
      <c r="K60" s="235"/>
    </row>
    <row r="61" spans="8:11" s="32" customFormat="1" ht="15.75">
      <c r="K61" s="235"/>
    </row>
    <row r="62" spans="8:11" s="32" customFormat="1" ht="15.75">
      <c r="K62" s="235"/>
    </row>
    <row r="63" spans="8:11" s="32" customFormat="1" ht="15.75">
      <c r="K63" s="235"/>
    </row>
    <row r="64" spans="8:11" s="32" customFormat="1" ht="15.75">
      <c r="K64" s="235"/>
    </row>
    <row r="65" spans="11:11" s="32" customFormat="1" ht="15.75">
      <c r="K65" s="235"/>
    </row>
    <row r="66" spans="11:11" s="32" customFormat="1" ht="15.75">
      <c r="K66" s="235"/>
    </row>
    <row r="67" spans="11:11" s="32" customFormat="1" ht="15.75">
      <c r="K67" s="235"/>
    </row>
    <row r="68" spans="11:11" s="32" customFormat="1" ht="15.75">
      <c r="K68" s="235"/>
    </row>
    <row r="69" spans="11:11" s="32" customFormat="1" ht="15.75">
      <c r="K69" s="235"/>
    </row>
    <row r="70" spans="11:11" s="32" customFormat="1" ht="15.75">
      <c r="K70" s="235"/>
    </row>
    <row r="71" spans="11:11" s="32" customFormat="1" ht="15.75">
      <c r="K71" s="235"/>
    </row>
    <row r="72" spans="11:11" s="32" customFormat="1" ht="15.75">
      <c r="K72" s="235"/>
    </row>
    <row r="73" spans="11:11" s="32" customFormat="1" ht="15.75">
      <c r="K73" s="235"/>
    </row>
    <row r="74" spans="11:11" s="32" customFormat="1" ht="15.75">
      <c r="K74" s="235"/>
    </row>
    <row r="75" spans="11:11" s="32" customFormat="1" ht="15.75">
      <c r="K75" s="235"/>
    </row>
    <row r="76" spans="11:11" s="32" customFormat="1" ht="15.75">
      <c r="K76" s="235"/>
    </row>
    <row r="77" spans="11:11" s="32" customFormat="1" ht="15.75">
      <c r="K77" s="235"/>
    </row>
    <row r="78" spans="11:11" s="32" customFormat="1" ht="15.75">
      <c r="K78" s="235"/>
    </row>
    <row r="79" spans="11:11" s="32" customFormat="1" ht="15.75">
      <c r="K79" s="235"/>
    </row>
    <row r="80" spans="11:11" s="32" customFormat="1" ht="15.75">
      <c r="K80" s="235"/>
    </row>
    <row r="81" spans="11:11" s="32" customFormat="1" ht="15.75">
      <c r="K81" s="235"/>
    </row>
    <row r="82" spans="11:11" s="32" customFormat="1" ht="15.75">
      <c r="K82" s="235"/>
    </row>
    <row r="83" spans="11:11" s="32" customFormat="1" ht="15.75">
      <c r="K83" s="235"/>
    </row>
    <row r="84" spans="11:11" s="32" customFormat="1" ht="15.75">
      <c r="K84" s="235"/>
    </row>
  </sheetData>
  <mergeCells count="1">
    <mergeCell ref="B3:D3"/>
  </mergeCells>
  <phoneticPr fontId="25" type="noConversion"/>
  <printOptions horizontalCentered="1"/>
  <pageMargins left="0.2" right="0.2" top="0.75" bottom="0.4" header="0.36" footer="0.17"/>
  <pageSetup orientation="landscape" r:id="rId1"/>
  <headerFooter alignWithMargins="0">
    <oddFooter>&amp;C&amp;A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4"/>
  <sheetViews>
    <sheetView view="pageLayout" zoomScaleNormal="100" zoomScaleSheetLayoutView="145" workbookViewId="0">
      <selection activeCell="N59" sqref="N59"/>
    </sheetView>
  </sheetViews>
  <sheetFormatPr defaultColWidth="10.5" defaultRowHeight="12"/>
  <cols>
    <col min="1" max="1" width="3.5" style="637" customWidth="1"/>
    <col min="2" max="2" width="39.5" style="637" customWidth="1"/>
    <col min="3" max="5" width="13.6640625" style="637" customWidth="1"/>
    <col min="6" max="6" width="20.5" style="637" customWidth="1"/>
    <col min="7" max="7" width="2" style="637" customWidth="1"/>
    <col min="8" max="8" width="8" style="637" bestFit="1" customWidth="1"/>
    <col min="9" max="246" width="10.5" style="637"/>
    <col min="247" max="247" width="3.5" style="637" customWidth="1"/>
    <col min="248" max="248" width="39.5" style="637" customWidth="1"/>
    <col min="249" max="249" width="14.5" style="637" bestFit="1" customWidth="1"/>
    <col min="250" max="257" width="13.6640625" style="637" customWidth="1"/>
    <col min="258" max="258" width="12.5" style="637" customWidth="1"/>
    <col min="259" max="261" width="13.6640625" style="637" customWidth="1"/>
    <col min="262" max="262" width="20.5" style="637" customWidth="1"/>
    <col min="263" max="263" width="2" style="637" customWidth="1"/>
    <col min="264" max="264" width="8" style="637" bestFit="1" customWidth="1"/>
    <col min="265" max="502" width="10.5" style="637"/>
    <col min="503" max="503" width="3.5" style="637" customWidth="1"/>
    <col min="504" max="504" width="39.5" style="637" customWidth="1"/>
    <col min="505" max="505" width="14.5" style="637" bestFit="1" customWidth="1"/>
    <col min="506" max="513" width="13.6640625" style="637" customWidth="1"/>
    <col min="514" max="514" width="12.5" style="637" customWidth="1"/>
    <col min="515" max="517" width="13.6640625" style="637" customWidth="1"/>
    <col min="518" max="518" width="20.5" style="637" customWidth="1"/>
    <col min="519" max="519" width="2" style="637" customWidth="1"/>
    <col min="520" max="520" width="8" style="637" bestFit="1" customWidth="1"/>
    <col min="521" max="758" width="10.5" style="637"/>
    <col min="759" max="759" width="3.5" style="637" customWidth="1"/>
    <col min="760" max="760" width="39.5" style="637" customWidth="1"/>
    <col min="761" max="761" width="14.5" style="637" bestFit="1" customWidth="1"/>
    <col min="762" max="769" width="13.6640625" style="637" customWidth="1"/>
    <col min="770" max="770" width="12.5" style="637" customWidth="1"/>
    <col min="771" max="773" width="13.6640625" style="637" customWidth="1"/>
    <col min="774" max="774" width="20.5" style="637" customWidth="1"/>
    <col min="775" max="775" width="2" style="637" customWidth="1"/>
    <col min="776" max="776" width="8" style="637" bestFit="1" customWidth="1"/>
    <col min="777" max="1014" width="10.5" style="637"/>
    <col min="1015" max="1015" width="3.5" style="637" customWidth="1"/>
    <col min="1016" max="1016" width="39.5" style="637" customWidth="1"/>
    <col min="1017" max="1017" width="14.5" style="637" bestFit="1" customWidth="1"/>
    <col min="1018" max="1025" width="13.6640625" style="637" customWidth="1"/>
    <col min="1026" max="1026" width="12.5" style="637" customWidth="1"/>
    <col min="1027" max="1029" width="13.6640625" style="637" customWidth="1"/>
    <col min="1030" max="1030" width="20.5" style="637" customWidth="1"/>
    <col min="1031" max="1031" width="2" style="637" customWidth="1"/>
    <col min="1032" max="1032" width="8" style="637" bestFit="1" customWidth="1"/>
    <col min="1033" max="1270" width="10.5" style="637"/>
    <col min="1271" max="1271" width="3.5" style="637" customWidth="1"/>
    <col min="1272" max="1272" width="39.5" style="637" customWidth="1"/>
    <col min="1273" max="1273" width="14.5" style="637" bestFit="1" customWidth="1"/>
    <col min="1274" max="1281" width="13.6640625" style="637" customWidth="1"/>
    <col min="1282" max="1282" width="12.5" style="637" customWidth="1"/>
    <col min="1283" max="1285" width="13.6640625" style="637" customWidth="1"/>
    <col min="1286" max="1286" width="20.5" style="637" customWidth="1"/>
    <col min="1287" max="1287" width="2" style="637" customWidth="1"/>
    <col min="1288" max="1288" width="8" style="637" bestFit="1" customWidth="1"/>
    <col min="1289" max="1526" width="10.5" style="637"/>
    <col min="1527" max="1527" width="3.5" style="637" customWidth="1"/>
    <col min="1528" max="1528" width="39.5" style="637" customWidth="1"/>
    <col min="1529" max="1529" width="14.5" style="637" bestFit="1" customWidth="1"/>
    <col min="1530" max="1537" width="13.6640625" style="637" customWidth="1"/>
    <col min="1538" max="1538" width="12.5" style="637" customWidth="1"/>
    <col min="1539" max="1541" width="13.6640625" style="637" customWidth="1"/>
    <col min="1542" max="1542" width="20.5" style="637" customWidth="1"/>
    <col min="1543" max="1543" width="2" style="637" customWidth="1"/>
    <col min="1544" max="1544" width="8" style="637" bestFit="1" customWidth="1"/>
    <col min="1545" max="1782" width="10.5" style="637"/>
    <col min="1783" max="1783" width="3.5" style="637" customWidth="1"/>
    <col min="1784" max="1784" width="39.5" style="637" customWidth="1"/>
    <col min="1785" max="1785" width="14.5" style="637" bestFit="1" customWidth="1"/>
    <col min="1786" max="1793" width="13.6640625" style="637" customWidth="1"/>
    <col min="1794" max="1794" width="12.5" style="637" customWidth="1"/>
    <col min="1795" max="1797" width="13.6640625" style="637" customWidth="1"/>
    <col min="1798" max="1798" width="20.5" style="637" customWidth="1"/>
    <col min="1799" max="1799" width="2" style="637" customWidth="1"/>
    <col min="1800" max="1800" width="8" style="637" bestFit="1" customWidth="1"/>
    <col min="1801" max="2038" width="10.5" style="637"/>
    <col min="2039" max="2039" width="3.5" style="637" customWidth="1"/>
    <col min="2040" max="2040" width="39.5" style="637" customWidth="1"/>
    <col min="2041" max="2041" width="14.5" style="637" bestFit="1" customWidth="1"/>
    <col min="2042" max="2049" width="13.6640625" style="637" customWidth="1"/>
    <col min="2050" max="2050" width="12.5" style="637" customWidth="1"/>
    <col min="2051" max="2053" width="13.6640625" style="637" customWidth="1"/>
    <col min="2054" max="2054" width="20.5" style="637" customWidth="1"/>
    <col min="2055" max="2055" width="2" style="637" customWidth="1"/>
    <col min="2056" max="2056" width="8" style="637" bestFit="1" customWidth="1"/>
    <col min="2057" max="2294" width="10.5" style="637"/>
    <col min="2295" max="2295" width="3.5" style="637" customWidth="1"/>
    <col min="2296" max="2296" width="39.5" style="637" customWidth="1"/>
    <col min="2297" max="2297" width="14.5" style="637" bestFit="1" customWidth="1"/>
    <col min="2298" max="2305" width="13.6640625" style="637" customWidth="1"/>
    <col min="2306" max="2306" width="12.5" style="637" customWidth="1"/>
    <col min="2307" max="2309" width="13.6640625" style="637" customWidth="1"/>
    <col min="2310" max="2310" width="20.5" style="637" customWidth="1"/>
    <col min="2311" max="2311" width="2" style="637" customWidth="1"/>
    <col min="2312" max="2312" width="8" style="637" bestFit="1" customWidth="1"/>
    <col min="2313" max="2550" width="10.5" style="637"/>
    <col min="2551" max="2551" width="3.5" style="637" customWidth="1"/>
    <col min="2552" max="2552" width="39.5" style="637" customWidth="1"/>
    <col min="2553" max="2553" width="14.5" style="637" bestFit="1" customWidth="1"/>
    <col min="2554" max="2561" width="13.6640625" style="637" customWidth="1"/>
    <col min="2562" max="2562" width="12.5" style="637" customWidth="1"/>
    <col min="2563" max="2565" width="13.6640625" style="637" customWidth="1"/>
    <col min="2566" max="2566" width="20.5" style="637" customWidth="1"/>
    <col min="2567" max="2567" width="2" style="637" customWidth="1"/>
    <col min="2568" max="2568" width="8" style="637" bestFit="1" customWidth="1"/>
    <col min="2569" max="2806" width="10.5" style="637"/>
    <col min="2807" max="2807" width="3.5" style="637" customWidth="1"/>
    <col min="2808" max="2808" width="39.5" style="637" customWidth="1"/>
    <col min="2809" max="2809" width="14.5" style="637" bestFit="1" customWidth="1"/>
    <col min="2810" max="2817" width="13.6640625" style="637" customWidth="1"/>
    <col min="2818" max="2818" width="12.5" style="637" customWidth="1"/>
    <col min="2819" max="2821" width="13.6640625" style="637" customWidth="1"/>
    <col min="2822" max="2822" width="20.5" style="637" customWidth="1"/>
    <col min="2823" max="2823" width="2" style="637" customWidth="1"/>
    <col min="2824" max="2824" width="8" style="637" bestFit="1" customWidth="1"/>
    <col min="2825" max="3062" width="10.5" style="637"/>
    <col min="3063" max="3063" width="3.5" style="637" customWidth="1"/>
    <col min="3064" max="3064" width="39.5" style="637" customWidth="1"/>
    <col min="3065" max="3065" width="14.5" style="637" bestFit="1" customWidth="1"/>
    <col min="3066" max="3073" width="13.6640625" style="637" customWidth="1"/>
    <col min="3074" max="3074" width="12.5" style="637" customWidth="1"/>
    <col min="3075" max="3077" width="13.6640625" style="637" customWidth="1"/>
    <col min="3078" max="3078" width="20.5" style="637" customWidth="1"/>
    <col min="3079" max="3079" width="2" style="637" customWidth="1"/>
    <col min="3080" max="3080" width="8" style="637" bestFit="1" customWidth="1"/>
    <col min="3081" max="3318" width="10.5" style="637"/>
    <col min="3319" max="3319" width="3.5" style="637" customWidth="1"/>
    <col min="3320" max="3320" width="39.5" style="637" customWidth="1"/>
    <col min="3321" max="3321" width="14.5" style="637" bestFit="1" customWidth="1"/>
    <col min="3322" max="3329" width="13.6640625" style="637" customWidth="1"/>
    <col min="3330" max="3330" width="12.5" style="637" customWidth="1"/>
    <col min="3331" max="3333" width="13.6640625" style="637" customWidth="1"/>
    <col min="3334" max="3334" width="20.5" style="637" customWidth="1"/>
    <col min="3335" max="3335" width="2" style="637" customWidth="1"/>
    <col min="3336" max="3336" width="8" style="637" bestFit="1" customWidth="1"/>
    <col min="3337" max="3574" width="10.5" style="637"/>
    <col min="3575" max="3575" width="3.5" style="637" customWidth="1"/>
    <col min="3576" max="3576" width="39.5" style="637" customWidth="1"/>
    <col min="3577" max="3577" width="14.5" style="637" bestFit="1" customWidth="1"/>
    <col min="3578" max="3585" width="13.6640625" style="637" customWidth="1"/>
    <col min="3586" max="3586" width="12.5" style="637" customWidth="1"/>
    <col min="3587" max="3589" width="13.6640625" style="637" customWidth="1"/>
    <col min="3590" max="3590" width="20.5" style="637" customWidth="1"/>
    <col min="3591" max="3591" width="2" style="637" customWidth="1"/>
    <col min="3592" max="3592" width="8" style="637" bestFit="1" customWidth="1"/>
    <col min="3593" max="3830" width="10.5" style="637"/>
    <col min="3831" max="3831" width="3.5" style="637" customWidth="1"/>
    <col min="3832" max="3832" width="39.5" style="637" customWidth="1"/>
    <col min="3833" max="3833" width="14.5" style="637" bestFit="1" customWidth="1"/>
    <col min="3834" max="3841" width="13.6640625" style="637" customWidth="1"/>
    <col min="3842" max="3842" width="12.5" style="637" customWidth="1"/>
    <col min="3843" max="3845" width="13.6640625" style="637" customWidth="1"/>
    <col min="3846" max="3846" width="20.5" style="637" customWidth="1"/>
    <col min="3847" max="3847" width="2" style="637" customWidth="1"/>
    <col min="3848" max="3848" width="8" style="637" bestFit="1" customWidth="1"/>
    <col min="3849" max="4086" width="10.5" style="637"/>
    <col min="4087" max="4087" width="3.5" style="637" customWidth="1"/>
    <col min="4088" max="4088" width="39.5" style="637" customWidth="1"/>
    <col min="4089" max="4089" width="14.5" style="637" bestFit="1" customWidth="1"/>
    <col min="4090" max="4097" width="13.6640625" style="637" customWidth="1"/>
    <col min="4098" max="4098" width="12.5" style="637" customWidth="1"/>
    <col min="4099" max="4101" width="13.6640625" style="637" customWidth="1"/>
    <col min="4102" max="4102" width="20.5" style="637" customWidth="1"/>
    <col min="4103" max="4103" width="2" style="637" customWidth="1"/>
    <col min="4104" max="4104" width="8" style="637" bestFit="1" customWidth="1"/>
    <col min="4105" max="4342" width="10.5" style="637"/>
    <col min="4343" max="4343" width="3.5" style="637" customWidth="1"/>
    <col min="4344" max="4344" width="39.5" style="637" customWidth="1"/>
    <col min="4345" max="4345" width="14.5" style="637" bestFit="1" customWidth="1"/>
    <col min="4346" max="4353" width="13.6640625" style="637" customWidth="1"/>
    <col min="4354" max="4354" width="12.5" style="637" customWidth="1"/>
    <col min="4355" max="4357" width="13.6640625" style="637" customWidth="1"/>
    <col min="4358" max="4358" width="20.5" style="637" customWidth="1"/>
    <col min="4359" max="4359" width="2" style="637" customWidth="1"/>
    <col min="4360" max="4360" width="8" style="637" bestFit="1" customWidth="1"/>
    <col min="4361" max="4598" width="10.5" style="637"/>
    <col min="4599" max="4599" width="3.5" style="637" customWidth="1"/>
    <col min="4600" max="4600" width="39.5" style="637" customWidth="1"/>
    <col min="4601" max="4601" width="14.5" style="637" bestFit="1" customWidth="1"/>
    <col min="4602" max="4609" width="13.6640625" style="637" customWidth="1"/>
    <col min="4610" max="4610" width="12.5" style="637" customWidth="1"/>
    <col min="4611" max="4613" width="13.6640625" style="637" customWidth="1"/>
    <col min="4614" max="4614" width="20.5" style="637" customWidth="1"/>
    <col min="4615" max="4615" width="2" style="637" customWidth="1"/>
    <col min="4616" max="4616" width="8" style="637" bestFit="1" customWidth="1"/>
    <col min="4617" max="4854" width="10.5" style="637"/>
    <col min="4855" max="4855" width="3.5" style="637" customWidth="1"/>
    <col min="4856" max="4856" width="39.5" style="637" customWidth="1"/>
    <col min="4857" max="4857" width="14.5" style="637" bestFit="1" customWidth="1"/>
    <col min="4858" max="4865" width="13.6640625" style="637" customWidth="1"/>
    <col min="4866" max="4866" width="12.5" style="637" customWidth="1"/>
    <col min="4867" max="4869" width="13.6640625" style="637" customWidth="1"/>
    <col min="4870" max="4870" width="20.5" style="637" customWidth="1"/>
    <col min="4871" max="4871" width="2" style="637" customWidth="1"/>
    <col min="4872" max="4872" width="8" style="637" bestFit="1" customWidth="1"/>
    <col min="4873" max="5110" width="10.5" style="637"/>
    <col min="5111" max="5111" width="3.5" style="637" customWidth="1"/>
    <col min="5112" max="5112" width="39.5" style="637" customWidth="1"/>
    <col min="5113" max="5113" width="14.5" style="637" bestFit="1" customWidth="1"/>
    <col min="5114" max="5121" width="13.6640625" style="637" customWidth="1"/>
    <col min="5122" max="5122" width="12.5" style="637" customWidth="1"/>
    <col min="5123" max="5125" width="13.6640625" style="637" customWidth="1"/>
    <col min="5126" max="5126" width="20.5" style="637" customWidth="1"/>
    <col min="5127" max="5127" width="2" style="637" customWidth="1"/>
    <col min="5128" max="5128" width="8" style="637" bestFit="1" customWidth="1"/>
    <col min="5129" max="5366" width="10.5" style="637"/>
    <col min="5367" max="5367" width="3.5" style="637" customWidth="1"/>
    <col min="5368" max="5368" width="39.5" style="637" customWidth="1"/>
    <col min="5369" max="5369" width="14.5" style="637" bestFit="1" customWidth="1"/>
    <col min="5370" max="5377" width="13.6640625" style="637" customWidth="1"/>
    <col min="5378" max="5378" width="12.5" style="637" customWidth="1"/>
    <col min="5379" max="5381" width="13.6640625" style="637" customWidth="1"/>
    <col min="5382" max="5382" width="20.5" style="637" customWidth="1"/>
    <col min="5383" max="5383" width="2" style="637" customWidth="1"/>
    <col min="5384" max="5384" width="8" style="637" bestFit="1" customWidth="1"/>
    <col min="5385" max="5622" width="10.5" style="637"/>
    <col min="5623" max="5623" width="3.5" style="637" customWidth="1"/>
    <col min="5624" max="5624" width="39.5" style="637" customWidth="1"/>
    <col min="5625" max="5625" width="14.5" style="637" bestFit="1" customWidth="1"/>
    <col min="5626" max="5633" width="13.6640625" style="637" customWidth="1"/>
    <col min="5634" max="5634" width="12.5" style="637" customWidth="1"/>
    <col min="5635" max="5637" width="13.6640625" style="637" customWidth="1"/>
    <col min="5638" max="5638" width="20.5" style="637" customWidth="1"/>
    <col min="5639" max="5639" width="2" style="637" customWidth="1"/>
    <col min="5640" max="5640" width="8" style="637" bestFit="1" customWidth="1"/>
    <col min="5641" max="5878" width="10.5" style="637"/>
    <col min="5879" max="5879" width="3.5" style="637" customWidth="1"/>
    <col min="5880" max="5880" width="39.5" style="637" customWidth="1"/>
    <col min="5881" max="5881" width="14.5" style="637" bestFit="1" customWidth="1"/>
    <col min="5882" max="5889" width="13.6640625" style="637" customWidth="1"/>
    <col min="5890" max="5890" width="12.5" style="637" customWidth="1"/>
    <col min="5891" max="5893" width="13.6640625" style="637" customWidth="1"/>
    <col min="5894" max="5894" width="20.5" style="637" customWidth="1"/>
    <col min="5895" max="5895" width="2" style="637" customWidth="1"/>
    <col min="5896" max="5896" width="8" style="637" bestFit="1" customWidth="1"/>
    <col min="5897" max="6134" width="10.5" style="637"/>
    <col min="6135" max="6135" width="3.5" style="637" customWidth="1"/>
    <col min="6136" max="6136" width="39.5" style="637" customWidth="1"/>
    <col min="6137" max="6137" width="14.5" style="637" bestFit="1" customWidth="1"/>
    <col min="6138" max="6145" width="13.6640625" style="637" customWidth="1"/>
    <col min="6146" max="6146" width="12.5" style="637" customWidth="1"/>
    <col min="6147" max="6149" width="13.6640625" style="637" customWidth="1"/>
    <col min="6150" max="6150" width="20.5" style="637" customWidth="1"/>
    <col min="6151" max="6151" width="2" style="637" customWidth="1"/>
    <col min="6152" max="6152" width="8" style="637" bestFit="1" customWidth="1"/>
    <col min="6153" max="6390" width="10.5" style="637"/>
    <col min="6391" max="6391" width="3.5" style="637" customWidth="1"/>
    <col min="6392" max="6392" width="39.5" style="637" customWidth="1"/>
    <col min="6393" max="6393" width="14.5" style="637" bestFit="1" customWidth="1"/>
    <col min="6394" max="6401" width="13.6640625" style="637" customWidth="1"/>
    <col min="6402" max="6402" width="12.5" style="637" customWidth="1"/>
    <col min="6403" max="6405" width="13.6640625" style="637" customWidth="1"/>
    <col min="6406" max="6406" width="20.5" style="637" customWidth="1"/>
    <col min="6407" max="6407" width="2" style="637" customWidth="1"/>
    <col min="6408" max="6408" width="8" style="637" bestFit="1" customWidth="1"/>
    <col min="6409" max="6646" width="10.5" style="637"/>
    <col min="6647" max="6647" width="3.5" style="637" customWidth="1"/>
    <col min="6648" max="6648" width="39.5" style="637" customWidth="1"/>
    <col min="6649" max="6649" width="14.5" style="637" bestFit="1" customWidth="1"/>
    <col min="6650" max="6657" width="13.6640625" style="637" customWidth="1"/>
    <col min="6658" max="6658" width="12.5" style="637" customWidth="1"/>
    <col min="6659" max="6661" width="13.6640625" style="637" customWidth="1"/>
    <col min="6662" max="6662" width="20.5" style="637" customWidth="1"/>
    <col min="6663" max="6663" width="2" style="637" customWidth="1"/>
    <col min="6664" max="6664" width="8" style="637" bestFit="1" customWidth="1"/>
    <col min="6665" max="6902" width="10.5" style="637"/>
    <col min="6903" max="6903" width="3.5" style="637" customWidth="1"/>
    <col min="6904" max="6904" width="39.5" style="637" customWidth="1"/>
    <col min="6905" max="6905" width="14.5" style="637" bestFit="1" customWidth="1"/>
    <col min="6906" max="6913" width="13.6640625" style="637" customWidth="1"/>
    <col min="6914" max="6914" width="12.5" style="637" customWidth="1"/>
    <col min="6915" max="6917" width="13.6640625" style="637" customWidth="1"/>
    <col min="6918" max="6918" width="20.5" style="637" customWidth="1"/>
    <col min="6919" max="6919" width="2" style="637" customWidth="1"/>
    <col min="6920" max="6920" width="8" style="637" bestFit="1" customWidth="1"/>
    <col min="6921" max="7158" width="10.5" style="637"/>
    <col min="7159" max="7159" width="3.5" style="637" customWidth="1"/>
    <col min="7160" max="7160" width="39.5" style="637" customWidth="1"/>
    <col min="7161" max="7161" width="14.5" style="637" bestFit="1" customWidth="1"/>
    <col min="7162" max="7169" width="13.6640625" style="637" customWidth="1"/>
    <col min="7170" max="7170" width="12.5" style="637" customWidth="1"/>
    <col min="7171" max="7173" width="13.6640625" style="637" customWidth="1"/>
    <col min="7174" max="7174" width="20.5" style="637" customWidth="1"/>
    <col min="7175" max="7175" width="2" style="637" customWidth="1"/>
    <col min="7176" max="7176" width="8" style="637" bestFit="1" customWidth="1"/>
    <col min="7177" max="7414" width="10.5" style="637"/>
    <col min="7415" max="7415" width="3.5" style="637" customWidth="1"/>
    <col min="7416" max="7416" width="39.5" style="637" customWidth="1"/>
    <col min="7417" max="7417" width="14.5" style="637" bestFit="1" customWidth="1"/>
    <col min="7418" max="7425" width="13.6640625" style="637" customWidth="1"/>
    <col min="7426" max="7426" width="12.5" style="637" customWidth="1"/>
    <col min="7427" max="7429" width="13.6640625" style="637" customWidth="1"/>
    <col min="7430" max="7430" width="20.5" style="637" customWidth="1"/>
    <col min="7431" max="7431" width="2" style="637" customWidth="1"/>
    <col min="7432" max="7432" width="8" style="637" bestFit="1" customWidth="1"/>
    <col min="7433" max="7670" width="10.5" style="637"/>
    <col min="7671" max="7671" width="3.5" style="637" customWidth="1"/>
    <col min="7672" max="7672" width="39.5" style="637" customWidth="1"/>
    <col min="7673" max="7673" width="14.5" style="637" bestFit="1" customWidth="1"/>
    <col min="7674" max="7681" width="13.6640625" style="637" customWidth="1"/>
    <col min="7682" max="7682" width="12.5" style="637" customWidth="1"/>
    <col min="7683" max="7685" width="13.6640625" style="637" customWidth="1"/>
    <col min="7686" max="7686" width="20.5" style="637" customWidth="1"/>
    <col min="7687" max="7687" width="2" style="637" customWidth="1"/>
    <col min="7688" max="7688" width="8" style="637" bestFit="1" customWidth="1"/>
    <col min="7689" max="7926" width="10.5" style="637"/>
    <col min="7927" max="7927" width="3.5" style="637" customWidth="1"/>
    <col min="7928" max="7928" width="39.5" style="637" customWidth="1"/>
    <col min="7929" max="7929" width="14.5" style="637" bestFit="1" customWidth="1"/>
    <col min="7930" max="7937" width="13.6640625" style="637" customWidth="1"/>
    <col min="7938" max="7938" width="12.5" style="637" customWidth="1"/>
    <col min="7939" max="7941" width="13.6640625" style="637" customWidth="1"/>
    <col min="7942" max="7942" width="20.5" style="637" customWidth="1"/>
    <col min="7943" max="7943" width="2" style="637" customWidth="1"/>
    <col min="7944" max="7944" width="8" style="637" bestFit="1" customWidth="1"/>
    <col min="7945" max="8182" width="10.5" style="637"/>
    <col min="8183" max="8183" width="3.5" style="637" customWidth="1"/>
    <col min="8184" max="8184" width="39.5" style="637" customWidth="1"/>
    <col min="8185" max="8185" width="14.5" style="637" bestFit="1" customWidth="1"/>
    <col min="8186" max="8193" width="13.6640625" style="637" customWidth="1"/>
    <col min="8194" max="8194" width="12.5" style="637" customWidth="1"/>
    <col min="8195" max="8197" width="13.6640625" style="637" customWidth="1"/>
    <col min="8198" max="8198" width="20.5" style="637" customWidth="1"/>
    <col min="8199" max="8199" width="2" style="637" customWidth="1"/>
    <col min="8200" max="8200" width="8" style="637" bestFit="1" customWidth="1"/>
    <col min="8201" max="8438" width="10.5" style="637"/>
    <col min="8439" max="8439" width="3.5" style="637" customWidth="1"/>
    <col min="8440" max="8440" width="39.5" style="637" customWidth="1"/>
    <col min="8441" max="8441" width="14.5" style="637" bestFit="1" customWidth="1"/>
    <col min="8442" max="8449" width="13.6640625" style="637" customWidth="1"/>
    <col min="8450" max="8450" width="12.5" style="637" customWidth="1"/>
    <col min="8451" max="8453" width="13.6640625" style="637" customWidth="1"/>
    <col min="8454" max="8454" width="20.5" style="637" customWidth="1"/>
    <col min="8455" max="8455" width="2" style="637" customWidth="1"/>
    <col min="8456" max="8456" width="8" style="637" bestFit="1" customWidth="1"/>
    <col min="8457" max="8694" width="10.5" style="637"/>
    <col min="8695" max="8695" width="3.5" style="637" customWidth="1"/>
    <col min="8696" max="8696" width="39.5" style="637" customWidth="1"/>
    <col min="8697" max="8697" width="14.5" style="637" bestFit="1" customWidth="1"/>
    <col min="8698" max="8705" width="13.6640625" style="637" customWidth="1"/>
    <col min="8706" max="8706" width="12.5" style="637" customWidth="1"/>
    <col min="8707" max="8709" width="13.6640625" style="637" customWidth="1"/>
    <col min="8710" max="8710" width="20.5" style="637" customWidth="1"/>
    <col min="8711" max="8711" width="2" style="637" customWidth="1"/>
    <col min="8712" max="8712" width="8" style="637" bestFit="1" customWidth="1"/>
    <col min="8713" max="8950" width="10.5" style="637"/>
    <col min="8951" max="8951" width="3.5" style="637" customWidth="1"/>
    <col min="8952" max="8952" width="39.5" style="637" customWidth="1"/>
    <col min="8953" max="8953" width="14.5" style="637" bestFit="1" customWidth="1"/>
    <col min="8954" max="8961" width="13.6640625" style="637" customWidth="1"/>
    <col min="8962" max="8962" width="12.5" style="637" customWidth="1"/>
    <col min="8963" max="8965" width="13.6640625" style="637" customWidth="1"/>
    <col min="8966" max="8966" width="20.5" style="637" customWidth="1"/>
    <col min="8967" max="8967" width="2" style="637" customWidth="1"/>
    <col min="8968" max="8968" width="8" style="637" bestFit="1" customWidth="1"/>
    <col min="8969" max="9206" width="10.5" style="637"/>
    <col min="9207" max="9207" width="3.5" style="637" customWidth="1"/>
    <col min="9208" max="9208" width="39.5" style="637" customWidth="1"/>
    <col min="9209" max="9209" width="14.5" style="637" bestFit="1" customWidth="1"/>
    <col min="9210" max="9217" width="13.6640625" style="637" customWidth="1"/>
    <col min="9218" max="9218" width="12.5" style="637" customWidth="1"/>
    <col min="9219" max="9221" width="13.6640625" style="637" customWidth="1"/>
    <col min="9222" max="9222" width="20.5" style="637" customWidth="1"/>
    <col min="9223" max="9223" width="2" style="637" customWidth="1"/>
    <col min="9224" max="9224" width="8" style="637" bestFit="1" customWidth="1"/>
    <col min="9225" max="9462" width="10.5" style="637"/>
    <col min="9463" max="9463" width="3.5" style="637" customWidth="1"/>
    <col min="9464" max="9464" width="39.5" style="637" customWidth="1"/>
    <col min="9465" max="9465" width="14.5" style="637" bestFit="1" customWidth="1"/>
    <col min="9466" max="9473" width="13.6640625" style="637" customWidth="1"/>
    <col min="9474" max="9474" width="12.5" style="637" customWidth="1"/>
    <col min="9475" max="9477" width="13.6640625" style="637" customWidth="1"/>
    <col min="9478" max="9478" width="20.5" style="637" customWidth="1"/>
    <col min="9479" max="9479" width="2" style="637" customWidth="1"/>
    <col min="9480" max="9480" width="8" style="637" bestFit="1" customWidth="1"/>
    <col min="9481" max="9718" width="10.5" style="637"/>
    <col min="9719" max="9719" width="3.5" style="637" customWidth="1"/>
    <col min="9720" max="9720" width="39.5" style="637" customWidth="1"/>
    <col min="9721" max="9721" width="14.5" style="637" bestFit="1" customWidth="1"/>
    <col min="9722" max="9729" width="13.6640625" style="637" customWidth="1"/>
    <col min="9730" max="9730" width="12.5" style="637" customWidth="1"/>
    <col min="9731" max="9733" width="13.6640625" style="637" customWidth="1"/>
    <col min="9734" max="9734" width="20.5" style="637" customWidth="1"/>
    <col min="9735" max="9735" width="2" style="637" customWidth="1"/>
    <col min="9736" max="9736" width="8" style="637" bestFit="1" customWidth="1"/>
    <col min="9737" max="9974" width="10.5" style="637"/>
    <col min="9975" max="9975" width="3.5" style="637" customWidth="1"/>
    <col min="9976" max="9976" width="39.5" style="637" customWidth="1"/>
    <col min="9977" max="9977" width="14.5" style="637" bestFit="1" customWidth="1"/>
    <col min="9978" max="9985" width="13.6640625" style="637" customWidth="1"/>
    <col min="9986" max="9986" width="12.5" style="637" customWidth="1"/>
    <col min="9987" max="9989" width="13.6640625" style="637" customWidth="1"/>
    <col min="9990" max="9990" width="20.5" style="637" customWidth="1"/>
    <col min="9991" max="9991" width="2" style="637" customWidth="1"/>
    <col min="9992" max="9992" width="8" style="637" bestFit="1" customWidth="1"/>
    <col min="9993" max="10230" width="10.5" style="637"/>
    <col min="10231" max="10231" width="3.5" style="637" customWidth="1"/>
    <col min="10232" max="10232" width="39.5" style="637" customWidth="1"/>
    <col min="10233" max="10233" width="14.5" style="637" bestFit="1" customWidth="1"/>
    <col min="10234" max="10241" width="13.6640625" style="637" customWidth="1"/>
    <col min="10242" max="10242" width="12.5" style="637" customWidth="1"/>
    <col min="10243" max="10245" width="13.6640625" style="637" customWidth="1"/>
    <col min="10246" max="10246" width="20.5" style="637" customWidth="1"/>
    <col min="10247" max="10247" width="2" style="637" customWidth="1"/>
    <col min="10248" max="10248" width="8" style="637" bestFit="1" customWidth="1"/>
    <col min="10249" max="10486" width="10.5" style="637"/>
    <col min="10487" max="10487" width="3.5" style="637" customWidth="1"/>
    <col min="10488" max="10488" width="39.5" style="637" customWidth="1"/>
    <col min="10489" max="10489" width="14.5" style="637" bestFit="1" customWidth="1"/>
    <col min="10490" max="10497" width="13.6640625" style="637" customWidth="1"/>
    <col min="10498" max="10498" width="12.5" style="637" customWidth="1"/>
    <col min="10499" max="10501" width="13.6640625" style="637" customWidth="1"/>
    <col min="10502" max="10502" width="20.5" style="637" customWidth="1"/>
    <col min="10503" max="10503" width="2" style="637" customWidth="1"/>
    <col min="10504" max="10504" width="8" style="637" bestFit="1" customWidth="1"/>
    <col min="10505" max="10742" width="10.5" style="637"/>
    <col min="10743" max="10743" width="3.5" style="637" customWidth="1"/>
    <col min="10744" max="10744" width="39.5" style="637" customWidth="1"/>
    <col min="10745" max="10745" width="14.5" style="637" bestFit="1" customWidth="1"/>
    <col min="10746" max="10753" width="13.6640625" style="637" customWidth="1"/>
    <col min="10754" max="10754" width="12.5" style="637" customWidth="1"/>
    <col min="10755" max="10757" width="13.6640625" style="637" customWidth="1"/>
    <col min="10758" max="10758" width="20.5" style="637" customWidth="1"/>
    <col min="10759" max="10759" width="2" style="637" customWidth="1"/>
    <col min="10760" max="10760" width="8" style="637" bestFit="1" customWidth="1"/>
    <col min="10761" max="10998" width="10.5" style="637"/>
    <col min="10999" max="10999" width="3.5" style="637" customWidth="1"/>
    <col min="11000" max="11000" width="39.5" style="637" customWidth="1"/>
    <col min="11001" max="11001" width="14.5" style="637" bestFit="1" customWidth="1"/>
    <col min="11002" max="11009" width="13.6640625" style="637" customWidth="1"/>
    <col min="11010" max="11010" width="12.5" style="637" customWidth="1"/>
    <col min="11011" max="11013" width="13.6640625" style="637" customWidth="1"/>
    <col min="11014" max="11014" width="20.5" style="637" customWidth="1"/>
    <col min="11015" max="11015" width="2" style="637" customWidth="1"/>
    <col min="11016" max="11016" width="8" style="637" bestFit="1" customWidth="1"/>
    <col min="11017" max="11254" width="10.5" style="637"/>
    <col min="11255" max="11255" width="3.5" style="637" customWidth="1"/>
    <col min="11256" max="11256" width="39.5" style="637" customWidth="1"/>
    <col min="11257" max="11257" width="14.5" style="637" bestFit="1" customWidth="1"/>
    <col min="11258" max="11265" width="13.6640625" style="637" customWidth="1"/>
    <col min="11266" max="11266" width="12.5" style="637" customWidth="1"/>
    <col min="11267" max="11269" width="13.6640625" style="637" customWidth="1"/>
    <col min="11270" max="11270" width="20.5" style="637" customWidth="1"/>
    <col min="11271" max="11271" width="2" style="637" customWidth="1"/>
    <col min="11272" max="11272" width="8" style="637" bestFit="1" customWidth="1"/>
    <col min="11273" max="11510" width="10.5" style="637"/>
    <col min="11511" max="11511" width="3.5" style="637" customWidth="1"/>
    <col min="11512" max="11512" width="39.5" style="637" customWidth="1"/>
    <col min="11513" max="11513" width="14.5" style="637" bestFit="1" customWidth="1"/>
    <col min="11514" max="11521" width="13.6640625" style="637" customWidth="1"/>
    <col min="11522" max="11522" width="12.5" style="637" customWidth="1"/>
    <col min="11523" max="11525" width="13.6640625" style="637" customWidth="1"/>
    <col min="11526" max="11526" width="20.5" style="637" customWidth="1"/>
    <col min="11527" max="11527" width="2" style="637" customWidth="1"/>
    <col min="11528" max="11528" width="8" style="637" bestFit="1" customWidth="1"/>
    <col min="11529" max="11766" width="10.5" style="637"/>
    <col min="11767" max="11767" width="3.5" style="637" customWidth="1"/>
    <col min="11768" max="11768" width="39.5" style="637" customWidth="1"/>
    <col min="11769" max="11769" width="14.5" style="637" bestFit="1" customWidth="1"/>
    <col min="11770" max="11777" width="13.6640625" style="637" customWidth="1"/>
    <col min="11778" max="11778" width="12.5" style="637" customWidth="1"/>
    <col min="11779" max="11781" width="13.6640625" style="637" customWidth="1"/>
    <col min="11782" max="11782" width="20.5" style="637" customWidth="1"/>
    <col min="11783" max="11783" width="2" style="637" customWidth="1"/>
    <col min="11784" max="11784" width="8" style="637" bestFit="1" customWidth="1"/>
    <col min="11785" max="12022" width="10.5" style="637"/>
    <col min="12023" max="12023" width="3.5" style="637" customWidth="1"/>
    <col min="12024" max="12024" width="39.5" style="637" customWidth="1"/>
    <col min="12025" max="12025" width="14.5" style="637" bestFit="1" customWidth="1"/>
    <col min="12026" max="12033" width="13.6640625" style="637" customWidth="1"/>
    <col min="12034" max="12034" width="12.5" style="637" customWidth="1"/>
    <col min="12035" max="12037" width="13.6640625" style="637" customWidth="1"/>
    <col min="12038" max="12038" width="20.5" style="637" customWidth="1"/>
    <col min="12039" max="12039" width="2" style="637" customWidth="1"/>
    <col min="12040" max="12040" width="8" style="637" bestFit="1" customWidth="1"/>
    <col min="12041" max="12278" width="10.5" style="637"/>
    <col min="12279" max="12279" width="3.5" style="637" customWidth="1"/>
    <col min="12280" max="12280" width="39.5" style="637" customWidth="1"/>
    <col min="12281" max="12281" width="14.5" style="637" bestFit="1" customWidth="1"/>
    <col min="12282" max="12289" width="13.6640625" style="637" customWidth="1"/>
    <col min="12290" max="12290" width="12.5" style="637" customWidth="1"/>
    <col min="12291" max="12293" width="13.6640625" style="637" customWidth="1"/>
    <col min="12294" max="12294" width="20.5" style="637" customWidth="1"/>
    <col min="12295" max="12295" width="2" style="637" customWidth="1"/>
    <col min="12296" max="12296" width="8" style="637" bestFit="1" customWidth="1"/>
    <col min="12297" max="12534" width="10.5" style="637"/>
    <col min="12535" max="12535" width="3.5" style="637" customWidth="1"/>
    <col min="12536" max="12536" width="39.5" style="637" customWidth="1"/>
    <col min="12537" max="12537" width="14.5" style="637" bestFit="1" customWidth="1"/>
    <col min="12538" max="12545" width="13.6640625" style="637" customWidth="1"/>
    <col min="12546" max="12546" width="12.5" style="637" customWidth="1"/>
    <col min="12547" max="12549" width="13.6640625" style="637" customWidth="1"/>
    <col min="12550" max="12550" width="20.5" style="637" customWidth="1"/>
    <col min="12551" max="12551" width="2" style="637" customWidth="1"/>
    <col min="12552" max="12552" width="8" style="637" bestFit="1" customWidth="1"/>
    <col min="12553" max="12790" width="10.5" style="637"/>
    <col min="12791" max="12791" width="3.5" style="637" customWidth="1"/>
    <col min="12792" max="12792" width="39.5" style="637" customWidth="1"/>
    <col min="12793" max="12793" width="14.5" style="637" bestFit="1" customWidth="1"/>
    <col min="12794" max="12801" width="13.6640625" style="637" customWidth="1"/>
    <col min="12802" max="12802" width="12.5" style="637" customWidth="1"/>
    <col min="12803" max="12805" width="13.6640625" style="637" customWidth="1"/>
    <col min="12806" max="12806" width="20.5" style="637" customWidth="1"/>
    <col min="12807" max="12807" width="2" style="637" customWidth="1"/>
    <col min="12808" max="12808" width="8" style="637" bestFit="1" customWidth="1"/>
    <col min="12809" max="13046" width="10.5" style="637"/>
    <col min="13047" max="13047" width="3.5" style="637" customWidth="1"/>
    <col min="13048" max="13048" width="39.5" style="637" customWidth="1"/>
    <col min="13049" max="13049" width="14.5" style="637" bestFit="1" customWidth="1"/>
    <col min="13050" max="13057" width="13.6640625" style="637" customWidth="1"/>
    <col min="13058" max="13058" width="12.5" style="637" customWidth="1"/>
    <col min="13059" max="13061" width="13.6640625" style="637" customWidth="1"/>
    <col min="13062" max="13062" width="20.5" style="637" customWidth="1"/>
    <col min="13063" max="13063" width="2" style="637" customWidth="1"/>
    <col min="13064" max="13064" width="8" style="637" bestFit="1" customWidth="1"/>
    <col min="13065" max="13302" width="10.5" style="637"/>
    <col min="13303" max="13303" width="3.5" style="637" customWidth="1"/>
    <col min="13304" max="13304" width="39.5" style="637" customWidth="1"/>
    <col min="13305" max="13305" width="14.5" style="637" bestFit="1" customWidth="1"/>
    <col min="13306" max="13313" width="13.6640625" style="637" customWidth="1"/>
    <col min="13314" max="13314" width="12.5" style="637" customWidth="1"/>
    <col min="13315" max="13317" width="13.6640625" style="637" customWidth="1"/>
    <col min="13318" max="13318" width="20.5" style="637" customWidth="1"/>
    <col min="13319" max="13319" width="2" style="637" customWidth="1"/>
    <col min="13320" max="13320" width="8" style="637" bestFit="1" customWidth="1"/>
    <col min="13321" max="13558" width="10.5" style="637"/>
    <col min="13559" max="13559" width="3.5" style="637" customWidth="1"/>
    <col min="13560" max="13560" width="39.5" style="637" customWidth="1"/>
    <col min="13561" max="13561" width="14.5" style="637" bestFit="1" customWidth="1"/>
    <col min="13562" max="13569" width="13.6640625" style="637" customWidth="1"/>
    <col min="13570" max="13570" width="12.5" style="637" customWidth="1"/>
    <col min="13571" max="13573" width="13.6640625" style="637" customWidth="1"/>
    <col min="13574" max="13574" width="20.5" style="637" customWidth="1"/>
    <col min="13575" max="13575" width="2" style="637" customWidth="1"/>
    <col min="13576" max="13576" width="8" style="637" bestFit="1" customWidth="1"/>
    <col min="13577" max="13814" width="10.5" style="637"/>
    <col min="13815" max="13815" width="3.5" style="637" customWidth="1"/>
    <col min="13816" max="13816" width="39.5" style="637" customWidth="1"/>
    <col min="13817" max="13817" width="14.5" style="637" bestFit="1" customWidth="1"/>
    <col min="13818" max="13825" width="13.6640625" style="637" customWidth="1"/>
    <col min="13826" max="13826" width="12.5" style="637" customWidth="1"/>
    <col min="13827" max="13829" width="13.6640625" style="637" customWidth="1"/>
    <col min="13830" max="13830" width="20.5" style="637" customWidth="1"/>
    <col min="13831" max="13831" width="2" style="637" customWidth="1"/>
    <col min="13832" max="13832" width="8" style="637" bestFit="1" customWidth="1"/>
    <col min="13833" max="14070" width="10.5" style="637"/>
    <col min="14071" max="14071" width="3.5" style="637" customWidth="1"/>
    <col min="14072" max="14072" width="39.5" style="637" customWidth="1"/>
    <col min="14073" max="14073" width="14.5" style="637" bestFit="1" customWidth="1"/>
    <col min="14074" max="14081" width="13.6640625" style="637" customWidth="1"/>
    <col min="14082" max="14082" width="12.5" style="637" customWidth="1"/>
    <col min="14083" max="14085" width="13.6640625" style="637" customWidth="1"/>
    <col min="14086" max="14086" width="20.5" style="637" customWidth="1"/>
    <col min="14087" max="14087" width="2" style="637" customWidth="1"/>
    <col min="14088" max="14088" width="8" style="637" bestFit="1" customWidth="1"/>
    <col min="14089" max="14326" width="10.5" style="637"/>
    <col min="14327" max="14327" width="3.5" style="637" customWidth="1"/>
    <col min="14328" max="14328" width="39.5" style="637" customWidth="1"/>
    <col min="14329" max="14329" width="14.5" style="637" bestFit="1" customWidth="1"/>
    <col min="14330" max="14337" width="13.6640625" style="637" customWidth="1"/>
    <col min="14338" max="14338" width="12.5" style="637" customWidth="1"/>
    <col min="14339" max="14341" width="13.6640625" style="637" customWidth="1"/>
    <col min="14342" max="14342" width="20.5" style="637" customWidth="1"/>
    <col min="14343" max="14343" width="2" style="637" customWidth="1"/>
    <col min="14344" max="14344" width="8" style="637" bestFit="1" customWidth="1"/>
    <col min="14345" max="14582" width="10.5" style="637"/>
    <col min="14583" max="14583" width="3.5" style="637" customWidth="1"/>
    <col min="14584" max="14584" width="39.5" style="637" customWidth="1"/>
    <col min="14585" max="14585" width="14.5" style="637" bestFit="1" customWidth="1"/>
    <col min="14586" max="14593" width="13.6640625" style="637" customWidth="1"/>
    <col min="14594" max="14594" width="12.5" style="637" customWidth="1"/>
    <col min="14595" max="14597" width="13.6640625" style="637" customWidth="1"/>
    <col min="14598" max="14598" width="20.5" style="637" customWidth="1"/>
    <col min="14599" max="14599" width="2" style="637" customWidth="1"/>
    <col min="14600" max="14600" width="8" style="637" bestFit="1" customWidth="1"/>
    <col min="14601" max="14838" width="10.5" style="637"/>
    <col min="14839" max="14839" width="3.5" style="637" customWidth="1"/>
    <col min="14840" max="14840" width="39.5" style="637" customWidth="1"/>
    <col min="14841" max="14841" width="14.5" style="637" bestFit="1" customWidth="1"/>
    <col min="14842" max="14849" width="13.6640625" style="637" customWidth="1"/>
    <col min="14850" max="14850" width="12.5" style="637" customWidth="1"/>
    <col min="14851" max="14853" width="13.6640625" style="637" customWidth="1"/>
    <col min="14854" max="14854" width="20.5" style="637" customWidth="1"/>
    <col min="14855" max="14855" width="2" style="637" customWidth="1"/>
    <col min="14856" max="14856" width="8" style="637" bestFit="1" customWidth="1"/>
    <col min="14857" max="15094" width="10.5" style="637"/>
    <col min="15095" max="15095" width="3.5" style="637" customWidth="1"/>
    <col min="15096" max="15096" width="39.5" style="637" customWidth="1"/>
    <col min="15097" max="15097" width="14.5" style="637" bestFit="1" customWidth="1"/>
    <col min="15098" max="15105" width="13.6640625" style="637" customWidth="1"/>
    <col min="15106" max="15106" width="12.5" style="637" customWidth="1"/>
    <col min="15107" max="15109" width="13.6640625" style="637" customWidth="1"/>
    <col min="15110" max="15110" width="20.5" style="637" customWidth="1"/>
    <col min="15111" max="15111" width="2" style="637" customWidth="1"/>
    <col min="15112" max="15112" width="8" style="637" bestFit="1" customWidth="1"/>
    <col min="15113" max="15350" width="10.5" style="637"/>
    <col min="15351" max="15351" width="3.5" style="637" customWidth="1"/>
    <col min="15352" max="15352" width="39.5" style="637" customWidth="1"/>
    <col min="15353" max="15353" width="14.5" style="637" bestFit="1" customWidth="1"/>
    <col min="15354" max="15361" width="13.6640625" style="637" customWidth="1"/>
    <col min="15362" max="15362" width="12.5" style="637" customWidth="1"/>
    <col min="15363" max="15365" width="13.6640625" style="637" customWidth="1"/>
    <col min="15366" max="15366" width="20.5" style="637" customWidth="1"/>
    <col min="15367" max="15367" width="2" style="637" customWidth="1"/>
    <col min="15368" max="15368" width="8" style="637" bestFit="1" customWidth="1"/>
    <col min="15369" max="15606" width="10.5" style="637"/>
    <col min="15607" max="15607" width="3.5" style="637" customWidth="1"/>
    <col min="15608" max="15608" width="39.5" style="637" customWidth="1"/>
    <col min="15609" max="15609" width="14.5" style="637" bestFit="1" customWidth="1"/>
    <col min="15610" max="15617" width="13.6640625" style="637" customWidth="1"/>
    <col min="15618" max="15618" width="12.5" style="637" customWidth="1"/>
    <col min="15619" max="15621" width="13.6640625" style="637" customWidth="1"/>
    <col min="15622" max="15622" width="20.5" style="637" customWidth="1"/>
    <col min="15623" max="15623" width="2" style="637" customWidth="1"/>
    <col min="15624" max="15624" width="8" style="637" bestFit="1" customWidth="1"/>
    <col min="15625" max="15862" width="10.5" style="637"/>
    <col min="15863" max="15863" width="3.5" style="637" customWidth="1"/>
    <col min="15864" max="15864" width="39.5" style="637" customWidth="1"/>
    <col min="15865" max="15865" width="14.5" style="637" bestFit="1" customWidth="1"/>
    <col min="15866" max="15873" width="13.6640625" style="637" customWidth="1"/>
    <col min="15874" max="15874" width="12.5" style="637" customWidth="1"/>
    <col min="15875" max="15877" width="13.6640625" style="637" customWidth="1"/>
    <col min="15878" max="15878" width="20.5" style="637" customWidth="1"/>
    <col min="15879" max="15879" width="2" style="637" customWidth="1"/>
    <col min="15880" max="15880" width="8" style="637" bestFit="1" customWidth="1"/>
    <col min="15881" max="16118" width="10.5" style="637"/>
    <col min="16119" max="16119" width="3.5" style="637" customWidth="1"/>
    <col min="16120" max="16120" width="39.5" style="637" customWidth="1"/>
    <col min="16121" max="16121" width="14.5" style="637" bestFit="1" customWidth="1"/>
    <col min="16122" max="16129" width="13.6640625" style="637" customWidth="1"/>
    <col min="16130" max="16130" width="12.5" style="637" customWidth="1"/>
    <col min="16131" max="16133" width="13.6640625" style="637" customWidth="1"/>
    <col min="16134" max="16134" width="20.5" style="637" customWidth="1"/>
    <col min="16135" max="16135" width="2" style="637" customWidth="1"/>
    <col min="16136" max="16136" width="8" style="637" bestFit="1" customWidth="1"/>
    <col min="16137" max="16384" width="10.5" style="637"/>
  </cols>
  <sheetData>
    <row r="1" spans="1:6" ht="12.75">
      <c r="A1" s="634"/>
      <c r="B1" s="635" t="s">
        <v>320</v>
      </c>
      <c r="C1" s="636"/>
      <c r="D1" s="636"/>
      <c r="E1" s="636"/>
      <c r="F1" s="635"/>
    </row>
    <row r="2" spans="1:6" ht="12.75">
      <c r="A2" s="634"/>
      <c r="B2" s="635" t="s">
        <v>339</v>
      </c>
      <c r="C2" s="636"/>
      <c r="D2" s="636"/>
      <c r="E2" s="636"/>
      <c r="F2" s="635"/>
    </row>
    <row r="3" spans="1:6" ht="13.5" customHeight="1">
      <c r="A3" s="634"/>
      <c r="B3" s="635" t="s">
        <v>340</v>
      </c>
      <c r="C3" s="636"/>
      <c r="D3" s="636"/>
      <c r="E3" s="636"/>
      <c r="F3" s="635"/>
    </row>
    <row r="4" spans="1:6" ht="12.75">
      <c r="A4" s="634"/>
      <c r="B4" s="638"/>
      <c r="C4" s="634"/>
      <c r="D4" s="634"/>
      <c r="E4" s="634"/>
      <c r="F4" s="634"/>
    </row>
    <row r="5" spans="1:6">
      <c r="A5" s="639">
        <v>1</v>
      </c>
      <c r="B5" s="640" t="s">
        <v>5</v>
      </c>
      <c r="C5" s="640" t="s">
        <v>27</v>
      </c>
      <c r="D5" s="640" t="s">
        <v>52</v>
      </c>
      <c r="E5" s="640" t="s">
        <v>64</v>
      </c>
      <c r="F5" s="640" t="s">
        <v>65</v>
      </c>
    </row>
    <row r="6" spans="1:6">
      <c r="A6" s="639"/>
      <c r="B6" s="640"/>
      <c r="C6" s="641"/>
      <c r="D6" s="641"/>
      <c r="E6" s="641"/>
      <c r="F6" s="640"/>
    </row>
    <row r="7" spans="1:6" ht="12" customHeight="1">
      <c r="A7" s="639">
        <f>A5+1</f>
        <v>2</v>
      </c>
      <c r="B7" s="634"/>
      <c r="C7" s="641">
        <v>44500</v>
      </c>
      <c r="D7" s="641">
        <v>44530</v>
      </c>
      <c r="E7" s="641">
        <v>44561</v>
      </c>
      <c r="F7" s="642" t="s">
        <v>321</v>
      </c>
    </row>
    <row r="8" spans="1:6">
      <c r="A8" s="639">
        <f>A7+1</f>
        <v>3</v>
      </c>
      <c r="B8" s="643" t="s">
        <v>322</v>
      </c>
      <c r="C8" s="671">
        <v>15680.616</v>
      </c>
      <c r="D8" s="671">
        <v>15680.616</v>
      </c>
      <c r="E8" s="671">
        <v>15680.616</v>
      </c>
      <c r="F8" s="670">
        <f>'2 - CapStructure'!T7/1000</f>
        <v>15680.616</v>
      </c>
    </row>
    <row r="9" spans="1:6" ht="5.25" customHeight="1">
      <c r="A9" s="639"/>
      <c r="B9" s="646"/>
      <c r="C9" s="647"/>
      <c r="D9" s="647"/>
      <c r="E9" s="647"/>
      <c r="F9" s="647"/>
    </row>
    <row r="10" spans="1:6">
      <c r="A10" s="639">
        <f>A8+1</f>
        <v>4</v>
      </c>
      <c r="B10" s="643" t="s">
        <v>323</v>
      </c>
      <c r="C10" s="648"/>
      <c r="D10" s="648"/>
      <c r="E10" s="648"/>
      <c r="F10" s="647"/>
    </row>
    <row r="11" spans="1:6">
      <c r="A11" s="639">
        <f>A10+1</f>
        <v>5</v>
      </c>
      <c r="B11" s="646" t="s">
        <v>324</v>
      </c>
      <c r="C11" s="644">
        <f>C8</f>
        <v>15680.616</v>
      </c>
      <c r="D11" s="644">
        <f>D8</f>
        <v>15680.616</v>
      </c>
      <c r="E11" s="644">
        <f>E8</f>
        <v>15680.616</v>
      </c>
      <c r="F11" s="645">
        <f>AVERAGE(C11:E11)</f>
        <v>15680.616</v>
      </c>
    </row>
    <row r="12" spans="1:6">
      <c r="A12" s="639">
        <f>A11+1</f>
        <v>6</v>
      </c>
      <c r="B12" s="646" t="s">
        <v>325</v>
      </c>
      <c r="C12" s="649">
        <v>0</v>
      </c>
      <c r="D12" s="649">
        <f t="shared" ref="D12:E12" si="0">+C12</f>
        <v>0</v>
      </c>
      <c r="E12" s="649">
        <f t="shared" si="0"/>
        <v>0</v>
      </c>
      <c r="F12" s="645">
        <v>0</v>
      </c>
    </row>
    <row r="13" spans="1:6">
      <c r="A13" s="639">
        <f>A12+1</f>
        <v>7</v>
      </c>
      <c r="B13" s="650" t="s">
        <v>326</v>
      </c>
      <c r="C13" s="651">
        <f t="shared" ref="C13:E13" si="1">SUM(C11:C12)</f>
        <v>15680.616</v>
      </c>
      <c r="D13" s="651">
        <f t="shared" si="1"/>
        <v>15680.616</v>
      </c>
      <c r="E13" s="651">
        <f t="shared" si="1"/>
        <v>15680.616</v>
      </c>
      <c r="F13" s="652">
        <f>AVERAGE(C13:E13)</f>
        <v>15680.616</v>
      </c>
    </row>
    <row r="14" spans="1:6" ht="5.25" customHeight="1">
      <c r="A14" s="639"/>
      <c r="B14" s="646"/>
      <c r="C14" s="649"/>
      <c r="D14" s="649"/>
      <c r="E14" s="649"/>
      <c r="F14" s="649"/>
    </row>
    <row r="15" spans="1:6" ht="13.5" customHeight="1">
      <c r="A15" s="639">
        <f>A13+1</f>
        <v>8</v>
      </c>
      <c r="B15" s="643" t="s">
        <v>327</v>
      </c>
      <c r="C15" s="653"/>
      <c r="D15" s="654"/>
      <c r="E15" s="655"/>
      <c r="F15" s="656"/>
    </row>
    <row r="16" spans="1:6">
      <c r="A16" s="639">
        <f>A15+1</f>
        <v>9</v>
      </c>
      <c r="B16" s="646" t="s">
        <v>328</v>
      </c>
      <c r="C16" s="657">
        <f>[7]Sheet1!N427</f>
        <v>9.7719308487590282E-3</v>
      </c>
      <c r="D16" s="657">
        <f>[7]Sheet1!O427</f>
        <v>1.0558237785303695E-2</v>
      </c>
      <c r="E16" s="657">
        <f>[7]Sheet1!P427</f>
        <v>1.1335966482152036E-2</v>
      </c>
      <c r="F16" s="647"/>
    </row>
    <row r="17" spans="1:8">
      <c r="A17" s="639">
        <f>A16+1</f>
        <v>10</v>
      </c>
      <c r="B17" s="646" t="s">
        <v>329</v>
      </c>
      <c r="C17" s="657">
        <v>1E-3</v>
      </c>
      <c r="D17" s="657">
        <f t="shared" ref="D17:E18" si="2">C17</f>
        <v>1E-3</v>
      </c>
      <c r="E17" s="657">
        <f t="shared" si="2"/>
        <v>1E-3</v>
      </c>
      <c r="F17" s="647"/>
      <c r="H17" s="658"/>
    </row>
    <row r="18" spans="1:8">
      <c r="A18" s="639">
        <f>A17+1</f>
        <v>11</v>
      </c>
      <c r="B18" s="646" t="s">
        <v>330</v>
      </c>
      <c r="C18" s="657">
        <v>1.2500000000000001E-2</v>
      </c>
      <c r="D18" s="657">
        <f t="shared" si="2"/>
        <v>1.2500000000000001E-2</v>
      </c>
      <c r="E18" s="657">
        <f t="shared" si="2"/>
        <v>1.2500000000000001E-2</v>
      </c>
      <c r="F18" s="647"/>
    </row>
    <row r="19" spans="1:8" ht="6" customHeight="1">
      <c r="A19" s="639"/>
      <c r="B19" s="646"/>
      <c r="C19" s="659"/>
      <c r="D19" s="659"/>
      <c r="E19" s="659"/>
      <c r="F19" s="647"/>
    </row>
    <row r="20" spans="1:8" ht="12" customHeight="1">
      <c r="A20" s="639">
        <f>A18+1</f>
        <v>12</v>
      </c>
      <c r="B20" s="643" t="s">
        <v>331</v>
      </c>
      <c r="C20" s="659"/>
      <c r="D20" s="659"/>
      <c r="E20" s="659"/>
      <c r="F20" s="647"/>
    </row>
    <row r="21" spans="1:8">
      <c r="A21" s="639">
        <f>A20+1</f>
        <v>13</v>
      </c>
      <c r="B21" s="660" t="s">
        <v>332</v>
      </c>
      <c r="C21" s="661">
        <f t="shared" ref="C21:E21" si="3">C16+C17</f>
        <v>1.0771930848759027E-2</v>
      </c>
      <c r="D21" s="661">
        <f t="shared" si="3"/>
        <v>1.1558237785303696E-2</v>
      </c>
      <c r="E21" s="661">
        <f t="shared" si="3"/>
        <v>1.2335966482152037E-2</v>
      </c>
      <c r="F21" s="647"/>
    </row>
    <row r="22" spans="1:8">
      <c r="A22" s="639">
        <f>A21+1</f>
        <v>14</v>
      </c>
      <c r="B22" s="660" t="s">
        <v>325</v>
      </c>
      <c r="C22" s="661">
        <f t="shared" ref="C22:E22" si="4">C16+C18</f>
        <v>2.2271930848759031E-2</v>
      </c>
      <c r="D22" s="661">
        <f t="shared" si="4"/>
        <v>2.3058237785303696E-2</v>
      </c>
      <c r="E22" s="661">
        <f t="shared" si="4"/>
        <v>2.3835966482152037E-2</v>
      </c>
      <c r="F22" s="647"/>
    </row>
    <row r="23" spans="1:8" ht="5.25" customHeight="1">
      <c r="A23" s="639"/>
      <c r="C23" s="647"/>
      <c r="D23" s="647"/>
      <c r="E23" s="647"/>
      <c r="F23" s="647"/>
    </row>
    <row r="24" spans="1:8">
      <c r="A24" s="639">
        <f>A22+1</f>
        <v>15</v>
      </c>
      <c r="B24" s="646" t="s">
        <v>333</v>
      </c>
      <c r="C24" s="646">
        <v>31</v>
      </c>
      <c r="D24" s="646">
        <f t="shared" ref="D24:E24" si="5">D7-C7</f>
        <v>30</v>
      </c>
      <c r="E24" s="646">
        <f t="shared" si="5"/>
        <v>31</v>
      </c>
      <c r="F24" s="662"/>
    </row>
    <row r="25" spans="1:8" ht="3.75" customHeight="1">
      <c r="A25" s="639"/>
      <c r="B25" s="646"/>
      <c r="C25" s="646"/>
      <c r="D25" s="646"/>
      <c r="E25" s="646"/>
      <c r="F25" s="662"/>
    </row>
    <row r="26" spans="1:8">
      <c r="A26" s="639">
        <f>A24+1</f>
        <v>16</v>
      </c>
      <c r="B26" s="643" t="s">
        <v>334</v>
      </c>
      <c r="C26" s="646"/>
      <c r="D26" s="646"/>
      <c r="E26" s="646"/>
      <c r="F26" s="663" t="s">
        <v>163</v>
      </c>
    </row>
    <row r="27" spans="1:8">
      <c r="A27" s="639">
        <f>A26+1</f>
        <v>17</v>
      </c>
      <c r="B27" s="646" t="s">
        <v>335</v>
      </c>
      <c r="C27" s="647">
        <f>C11*(C21*C24/360)*1000</f>
        <v>14545.071799322986</v>
      </c>
      <c r="D27" s="647">
        <f t="shared" ref="D27:E27" si="6">D11*(D21*D24/360)*1000</f>
        <v>15103.357362336475</v>
      </c>
      <c r="E27" s="647">
        <f t="shared" si="6"/>
        <v>16656.950431278907</v>
      </c>
      <c r="F27" s="645">
        <f>SUM(C27:E27)</f>
        <v>46305.37959293837</v>
      </c>
    </row>
    <row r="28" spans="1:8">
      <c r="A28" s="639">
        <f>A27+1</f>
        <v>18</v>
      </c>
      <c r="B28" s="646" t="s">
        <v>336</v>
      </c>
      <c r="C28" s="647">
        <f>AVERAGE(C12:C12)*(C22*C24/360)*1000</f>
        <v>0</v>
      </c>
      <c r="D28" s="647">
        <f t="shared" ref="D28:E28" si="7">AVERAGE(C12:D12)*(D22*D24/360)*1000</f>
        <v>0</v>
      </c>
      <c r="E28" s="647">
        <f t="shared" si="7"/>
        <v>0</v>
      </c>
      <c r="F28" s="645">
        <f>SUM(C28:E28)</f>
        <v>0</v>
      </c>
    </row>
    <row r="29" spans="1:8" ht="12.75" thickBot="1">
      <c r="A29" s="639">
        <f>A28+1</f>
        <v>19</v>
      </c>
      <c r="B29" s="664" t="s">
        <v>337</v>
      </c>
      <c r="C29" s="665">
        <f t="shared" ref="C29:E29" si="8">SUM(C27:C28)</f>
        <v>14545.071799322986</v>
      </c>
      <c r="D29" s="665">
        <f t="shared" si="8"/>
        <v>15103.357362336475</v>
      </c>
      <c r="E29" s="665">
        <f t="shared" si="8"/>
        <v>16656.950431278907</v>
      </c>
      <c r="F29" s="666">
        <f>SUM(C29:E29)</f>
        <v>46305.37959293837</v>
      </c>
    </row>
    <row r="30" spans="1:8" ht="5.25" customHeight="1" thickTop="1">
      <c r="A30" s="639"/>
      <c r="B30" s="653"/>
      <c r="C30" s="653"/>
      <c r="D30" s="653"/>
      <c r="E30" s="653"/>
      <c r="F30" s="662"/>
    </row>
    <row r="31" spans="1:8" ht="4.5" customHeight="1">
      <c r="A31" s="639"/>
      <c r="B31" s="653"/>
      <c r="C31" s="653"/>
      <c r="D31" s="653"/>
      <c r="E31" s="653"/>
      <c r="F31" s="662"/>
    </row>
    <row r="32" spans="1:8" ht="12" customHeight="1">
      <c r="A32" s="639">
        <v>20</v>
      </c>
      <c r="B32" s="660"/>
      <c r="F32" s="667"/>
    </row>
    <row r="33" spans="1:5" ht="12" customHeight="1">
      <c r="A33" s="639">
        <v>21</v>
      </c>
      <c r="B33" s="643" t="s">
        <v>338</v>
      </c>
    </row>
    <row r="34" spans="1:5">
      <c r="B34" s="668"/>
      <c r="C34" s="669"/>
      <c r="D34" s="669"/>
      <c r="E34" s="669"/>
    </row>
  </sheetData>
  <printOptions horizontalCentered="1"/>
  <pageMargins left="0.27" right="0.23" top="0.61" bottom="0.77" header="0.27" footer="0.27"/>
  <pageSetup scale="70" orientation="landscape" r:id="rId1"/>
  <headerFooter alignWithMargins="0">
    <oddFooter>&amp;C&amp;A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 - Proposed</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424B001A-ABEB-402F-BEF2-73699F371FD2}"/>
</file>

<file path=customXml/itemProps2.xml><?xml version="1.0" encoding="utf-8"?>
<ds:datastoreItem xmlns:ds="http://schemas.openxmlformats.org/officeDocument/2006/customXml" ds:itemID="{88CCAC73-EA48-450A-AF6A-D4E5899CD202}"/>
</file>

<file path=customXml/itemProps3.xml><?xml version="1.0" encoding="utf-8"?>
<ds:datastoreItem xmlns:ds="http://schemas.openxmlformats.org/officeDocument/2006/customXml" ds:itemID="{C9EF836F-C4C9-4949-B94C-EA87985F708B}"/>
</file>

<file path=customXml/itemProps4.xml><?xml version="1.0" encoding="utf-8"?>
<ds:datastoreItem xmlns:ds="http://schemas.openxmlformats.org/officeDocument/2006/customXml" ds:itemID="{B5384937-4C80-478B-AAC4-7267FACF33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Comparison</vt:lpstr>
      <vt:lpstr>1 - Cost of Capital</vt:lpstr>
      <vt:lpstr>2 - CapStructure</vt:lpstr>
      <vt:lpstr>3 - STD Cost Rate</vt:lpstr>
      <vt:lpstr>4 - STD OS &amp; Comm Fees</vt:lpstr>
      <vt:lpstr>5 - STD Amort</vt:lpstr>
      <vt:lpstr>6 - LTD Cost </vt:lpstr>
      <vt:lpstr>7 - Reacquired Debt</vt:lpstr>
      <vt:lpstr>8 - STD Int - Forecast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'1 - Cost of Capital'!Print_Area</vt:lpstr>
      <vt:lpstr>'2 - CapStructure'!Print_Area</vt:lpstr>
      <vt:lpstr>'3 - STD Cost Rate'!Print_Area</vt:lpstr>
      <vt:lpstr>'4 - STD OS &amp; Comm Fees'!Print_Area</vt:lpstr>
      <vt:lpstr>'5 - STD Amort'!Print_Area</vt:lpstr>
      <vt:lpstr>'6 - LTD Cost '!Print_Area</vt:lpstr>
      <vt:lpstr>'7 - Reacquired Debt'!Print_Area</vt:lpstr>
      <vt:lpstr>'8 - STD Int - Forecast'!Print_Area</vt:lpstr>
      <vt:lpstr>'A1  CofCap-PreMerger Costs'!Print_Area</vt:lpstr>
      <vt:lpstr>'A2  STD Cost Rate-Prior Fac'!Print_Area</vt:lpstr>
      <vt:lpstr>'A4  STD Amort-Prior Fac'!Print_Area</vt:lpstr>
      <vt:lpstr>'FERC Rpt'!Print_Area</vt:lpstr>
      <vt:lpstr>'6 - LTD Cost '!Print_Titles</vt:lpstr>
      <vt:lpstr>'7 - Reacquired Debt'!Print_Titles</vt:lpstr>
      <vt:lpstr>'Appendix --&gt;'!Print_Titles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Starkey, Byron (SEA)</cp:lastModifiedBy>
  <cp:lastPrinted>2022-01-24T17:52:07Z</cp:lastPrinted>
  <dcterms:created xsi:type="dcterms:W3CDTF">2001-12-28T16:42:36Z</dcterms:created>
  <dcterms:modified xsi:type="dcterms:W3CDTF">2022-03-29T20:43:48Z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