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4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3.xml" ContentType="application/vnd.openxmlformats-officedocument.spreadsheetml.externalLink+xml"/>
  <Override PartName="/xl/revisions/revisionHeaders.xml" ContentType="application/vnd.openxmlformats-officedocument.spreadsheetml.revisionHeaders+xml"/>
  <Override PartName="/docProps/app.xml" ContentType="application/vnd.openxmlformats-officedocument.extended-properties+xml"/>
  <Override PartName="/docProps/core.xml" ContentType="application/vnd.openxmlformats-package.core-propertie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xl/revisions/revisionLog111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111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1.xml" ContentType="application/vnd.openxmlformats-officedocument.spreadsheetml.revisionLog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60" yWindow="0" windowWidth="12120" windowHeight="9120" tabRatio="909" activeTab="8"/>
  </bookViews>
  <sheets>
    <sheet name="Exhibit 2" sheetId="1" r:id="rId1"/>
    <sheet name="REs.Exc.Pr" sheetId="2" state="hidden" r:id="rId2"/>
    <sheet name="Sheet3" sheetId="3" state="hidden" r:id="rId3"/>
    <sheet name="Deferred Tax - IRS" sheetId="4" state="hidden" r:id="rId4"/>
    <sheet name="CLS" sheetId="5" state="hidden" r:id="rId5"/>
    <sheet name="Bental Rent Analysis" sheetId="6" state="hidden" r:id="rId6"/>
    <sheet name="Report Fixed Cost Centers" sheetId="7" state="hidden" r:id="rId7"/>
    <sheet name="VegMgmt" sheetId="8" state="hidden" r:id="rId8"/>
    <sheet name="Exhibit 3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1_94_12_94">[1]DT_A_DOL93!#REF!</definedName>
    <definedName name="_1_95_12_95">[1]DT_A_DOL93!#REF!</definedName>
    <definedName name="_1_96_12_96">[1]DT_A_DOL93!#REF!</definedName>
    <definedName name="_1_97_12_97">[1]DT_A_DOL93!#REF!</definedName>
    <definedName name="_1_98_12_98">[1]DT_A_DOL93!#REF!</definedName>
    <definedName name="_Apr04">[2]BS!$U$7:$U$3582</definedName>
    <definedName name="_Apr05">[3]BS!#REF!</definedName>
    <definedName name="_Aug04">[2]BS!$Y$7:$Y$3582</definedName>
    <definedName name="_Aug05">[3]BS!#REF!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c03">[4]BS!$T$7:$T$3582</definedName>
    <definedName name="_Dec04">[2]BS!$AC$7:$AC$3580</definedName>
    <definedName name="_End">[3]BS!#REF!</definedName>
    <definedName name="_Feb04">[2]BS!$S$7:$S$3582</definedName>
    <definedName name="_Feb05">[3]BS!#REF!</definedName>
    <definedName name="_Fill">[5]model!#REF!</definedName>
    <definedName name="_Jan04">[2]BS!$R$7:$R$3582</definedName>
    <definedName name="_Jan05">[3]BS!#REF!</definedName>
    <definedName name="_Jul04">[2]BS!$X$7:$X$3582</definedName>
    <definedName name="_Jul05">[3]BS!#REF!</definedName>
    <definedName name="_Jun04">[2]BS!$W$7:$W$3582</definedName>
    <definedName name="_Jun05">[3]BS!#REF!</definedName>
    <definedName name="_Mar04">[2]BS!$T$7:$T$3582</definedName>
    <definedName name="_Mar05">[3]BS!#REF!</definedName>
    <definedName name="_May04">[2]BS!$V$7:$V$3582</definedName>
    <definedName name="_May05">[3]BS!#REF!</definedName>
    <definedName name="_mwh2">#REF!</definedName>
    <definedName name="_Nov03">[4]BS!$S$7:$S$3582</definedName>
    <definedName name="_Nov04">[2]BS!$AB$7:$AB$3582</definedName>
    <definedName name="_Oct03">[4]BS!$R$7:$R$3582</definedName>
    <definedName name="_Oct04">[2]BS!$AA$7:$AA$3582</definedName>
    <definedName name="_RES2005">#REF!</definedName>
    <definedName name="_Sep03">[4]BS!$Q$7:$Q$3582</definedName>
    <definedName name="_Sep04">[2]BS!$Z$7:$Z$3582</definedName>
    <definedName name="_Sep05">[3]BS!#REF!</definedName>
    <definedName name="AccessDatabase" hidden="1">"I:\COMTREL\FINICLE\TradeSummary.mdb"</definedName>
    <definedName name="Acq1Plant">'[6]Acquisition Inputs'!$C$8</definedName>
    <definedName name="Acq2Plant">'[6]Acquisition Inputs'!$C$70</definedName>
    <definedName name="afudcrate">#REF!</definedName>
    <definedName name="afudctaxbasis">#REF!</definedName>
    <definedName name="apeek">#REF!</definedName>
    <definedName name="Apr03AMA">'[7]BS C&amp;L'!#REF!</definedName>
    <definedName name="Apr04AMA">[2]BS!$AG$7:$AG$3582</definedName>
    <definedName name="Apr05AMA">[3]BS!#REF!</definedName>
    <definedName name="aquila_lookup">'[8]Cabot Gas Replacement'!$B$8:$F$16</definedName>
    <definedName name="Asset_Class_Switch">[9]Assumptions!$D$5</definedName>
    <definedName name="Assume_Percent_Change">#REF!</definedName>
    <definedName name="Aug03AMA">'[7]BS C&amp;L'!#REF!</definedName>
    <definedName name="Aug04AMA">[2]BS!$AK$7:$AK$3582</definedName>
    <definedName name="Aug05AMA">[3]BS!#REF!</definedName>
    <definedName name="augcf">#REF!</definedName>
    <definedName name="augcost">#REF!</definedName>
    <definedName name="Aurora_Prices">"Monthly Price Summary'!$C$4:$H$63"</definedName>
    <definedName name="b" hidden="1">{#N/A,#N/A,FALSE,"Coversheet";#N/A,#N/A,FALSE,"QA"}</definedName>
    <definedName name="BADDEBT">[5]model!#REF!</definedName>
    <definedName name="BD">#REF!</definedName>
    <definedName name="BEP">#REF!</definedName>
    <definedName name="BottomRight">#REF!</definedName>
    <definedName name="bpatoggle">#REF!</definedName>
    <definedName name="BRI">#REF!</definedName>
    <definedName name="Button_1">"TradeSummary_Ken_Finicle_List"</definedName>
    <definedName name="Capacity">#REF!</definedName>
    <definedName name="capfact">#REF!</definedName>
    <definedName name="CaseDescription">'[6]Dispatch Cases'!$C$11</definedName>
    <definedName name="CCGT_HeatRate">[6]Assumptions!$H$23</definedName>
    <definedName name="CCGTPrice">[6]Assumptions!$H$22</definedName>
    <definedName name="cerarvm">#REF!</definedName>
    <definedName name="CL_RT">#REF!</definedName>
    <definedName name="CL_RT2">'[10]Transp Data'!$A$6:$C$81</definedName>
    <definedName name="clawback">#REF!</definedName>
    <definedName name="close">#REF!</definedName>
    <definedName name="cod">#REF!</definedName>
    <definedName name="COLHOUSE">[5]model!#REF!</definedName>
    <definedName name="COLXFER">[5]model!#REF!</definedName>
    <definedName name="CombWC_LineItem">[3]BS!#REF!</definedName>
    <definedName name="COMMON_ADMIN_ALLOCATED">#REF!</definedName>
    <definedName name="COMPINSR">#REF!</definedName>
    <definedName name="CONSERV">#REF!</definedName>
    <definedName name="constructcont">#REF!</definedName>
    <definedName name="Consv_Rdr_Rt">[11]Sch_120!#REF!</definedName>
    <definedName name="ContractDate">'[12]Dispatch Cases'!#REF!</definedName>
    <definedName name="Conv_Factor">[11]Sch_120!#REF!</definedName>
    <definedName name="ConversionFactor">[6]Assumptions!$I$65</definedName>
    <definedName name="CONVFACT">[5]model!#REF!</definedName>
    <definedName name="costofequit">#REF!</definedName>
    <definedName name="CPI">#REF!</definedName>
    <definedName name="cspe_wkly_vect_input">#REF!</definedName>
    <definedName name="cust">#REF!</definedName>
    <definedName name="CUSTDEP">#REF!</definedName>
    <definedName name="Data">#REF!</definedName>
    <definedName name="data1">#REF!</definedName>
    <definedName name="daveisroyescal">#REF!</definedName>
    <definedName name="daviesroyprice">#REF!</definedName>
    <definedName name="debtforce">#REF!</definedName>
    <definedName name="DebtPerc">[6]Assumptions!$I$58</definedName>
    <definedName name="Dec03AMA">[4]BS!$AJ$7:$AJ$3582</definedName>
    <definedName name="Dec04AMA">[2]BS!$AO$7:$AO$3582</definedName>
    <definedName name="Degree_Days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1" hidden="1">{#N/A,#N/A,FALSE,"Coversheet";#N/A,#N/A,FALSE,"QA"}</definedName>
    <definedName name="DEPRECIATION">#REF!</definedName>
    <definedName name="devfee">#REF!</definedName>
    <definedName name="DF_HeatRate">[6]Assumptions!$L$23</definedName>
    <definedName name="Disc">'[12]Debt Amortization'!#REF!</definedName>
    <definedName name="Discount_for_Revenue_Reqmt">'[13]Assumptions of Purchase'!$B$45</definedName>
    <definedName name="DOCKET">#REF!</definedName>
    <definedName name="DurPTC">#REF!</definedName>
    <definedName name="Electp1">#REF!</definedName>
    <definedName name="Electp2">#REF!</definedName>
    <definedName name="Electric_Prices">'[14]Monthly Price Summary'!$B$4:$E$27</definedName>
    <definedName name="ElecWC_LineItems">[3]BS!#REF!</definedName>
    <definedName name="ElRBLine">[2]BS!$AQ$7:$AQ$3303</definedName>
    <definedName name="EMPLBENE">#REF!</definedName>
    <definedName name="EndDate">[6]Assumptions!$C$11</definedName>
    <definedName name="endptcyr">#REF!</definedName>
    <definedName name="enxco2005">#REF!</definedName>
    <definedName name="enxcoescal">#REF!</definedName>
    <definedName name="enxcoownperc">#REF!</definedName>
    <definedName name="epcfee">#REF!</definedName>
    <definedName name="equitperc">#REF!</definedName>
    <definedName name="estrateRES">#REF!</definedName>
    <definedName name="FACTORS">#REF!</definedName>
    <definedName name="Feb03AMA">'[7]BS C&amp;L'!#REF!</definedName>
    <definedName name="Feb04AMA">[2]BS!$AE$7:$AE$3582</definedName>
    <definedName name="Feb05AMA">[3]BS!#REF!</definedName>
    <definedName name="Fed_Cap_Tax">[15]Inputs!$E$112</definedName>
    <definedName name="FedTaxRate">[6]Assumptions!$C$33</definedName>
    <definedName name="FERCRATE">#REF!</definedName>
    <definedName name="FF">#REF!</definedName>
    <definedName name="FIELDCHRG">[5]model!#REF!</definedName>
    <definedName name="Final">#REF!</definedName>
    <definedName name="firstptcyr">#REF!</definedName>
    <definedName name="firstyearmonths">#REF!</definedName>
    <definedName name="FIT">'Exhibit 2'!#REF!</definedName>
    <definedName name="fixedtrans">#REF!</definedName>
    <definedName name="fpldebt">#REF!</definedName>
    <definedName name="FPLequit">#REF!</definedName>
    <definedName name="Fuel">#REF!</definedName>
    <definedName name="GasRBLine">[2]BS!$AS$7:$AS$3631</definedName>
    <definedName name="GasWC_LineItem">[2]BS!$AR$7:$AR$3631</definedName>
    <definedName name="GDPIP">#REF!</definedName>
    <definedName name="GeoDate">'[12]Dispatch Cases'!#REF!</definedName>
    <definedName name="gpdip">#REF!</definedName>
    <definedName name="graph">#REF!</definedName>
    <definedName name="HydroCap">#REF!</definedName>
    <definedName name="HydroGen">[12]Dispatch!#REF!</definedName>
    <definedName name="IDCRATE">#REF!</definedName>
    <definedName name="inact">#REF!</definedName>
    <definedName name="INCSTMNT">#REF!</definedName>
    <definedName name="INCSTMT">#REF!</definedName>
    <definedName name="inflat">#REF!</definedName>
    <definedName name="inflatCERA">#REF!</definedName>
    <definedName name="INTRESEXCH">[16]Sheet1!$AG$1</definedName>
    <definedName name="INVPLAN">#REF!</definedName>
    <definedName name="Jan03AMA">'[7]BS C&amp;L'!#REF!</definedName>
    <definedName name="Jan04AMA">[2]BS!$AD$7:$AD$3582</definedName>
    <definedName name="Jan05AMA">[3]BS!#REF!</definedName>
    <definedName name="Jul03AMA">'[7]BS C&amp;L'!#REF!</definedName>
    <definedName name="Jul04AMA">[2]BS!$AJ$7:$AJ$3582</definedName>
    <definedName name="Jul05AMA">[3]BS!#REF!</definedName>
    <definedName name="julcf">#REF!</definedName>
    <definedName name="julcost">#REF!</definedName>
    <definedName name="Jun03AMA">'[7]BS C&amp;L'!#REF!</definedName>
    <definedName name="Jun04AMA">[2]BS!$AI$7:$AI$3582</definedName>
    <definedName name="Jun05AMA">[3]BS!#REF!</definedName>
    <definedName name="LATEPAY">[16]Sheet1!$E$3:$E$25</definedName>
    <definedName name="Lease_total">'[17]Forecast Adjustment'!#REF!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oadArray">'[18]Load Source Data'!$C$78:$X$89</definedName>
    <definedName name="LoadGrowthAdder">#REF!</definedName>
    <definedName name="manutaxfit">#REF!</definedName>
    <definedName name="Mar03AMA">'[7]BS C&amp;L'!#REF!</definedName>
    <definedName name="Mar04AMA">[2]BS!$AF$7:$AF$3582</definedName>
    <definedName name="Mar05AMA">[3]BS!#REF!</definedName>
    <definedName name="May03AMA">'[7]BS C&amp;L'!#REF!</definedName>
    <definedName name="May04AMA">[2]BS!$AH$7:$AH$3582</definedName>
    <definedName name="May05AMA">[3]BS!#REF!</definedName>
    <definedName name="mcnarycost">#REF!</definedName>
    <definedName name="mcnarytoggle">#REF!</definedName>
    <definedName name="median_energy">#REF!</definedName>
    <definedName name="MERGER_COST">[16]Sheet1!$AF$3:$AJ$28</definedName>
    <definedName name="MISCELLANEOUS">#REF!</definedName>
    <definedName name="MonTotalDispatch">[12]Dispatch!#REF!</definedName>
    <definedName name="MT">#REF!</definedName>
    <definedName name="MTD_Format">[19]Mthly!$B$11:$D$11,[19]Mthly!$B$35:$D$35</definedName>
    <definedName name="MustRunGen">[12]Dispatch!#REF!</definedName>
    <definedName name="Mwh">#REF!</definedName>
    <definedName name="nameplate">#REF!</definedName>
    <definedName name="nonrefundtrans">#REF!</definedName>
    <definedName name="Nov03AMA">[4]BS!$AI$7:$AI$3582</definedName>
    <definedName name="Nov04AMA">[2]BS!$AN$7:$AN$3582</definedName>
    <definedName name="novcf">#REF!</definedName>
    <definedName name="novcost">#REF!</definedName>
    <definedName name="numturbines">#REF!</definedName>
    <definedName name="numturbptc">#REF!</definedName>
    <definedName name="NWSales_MWH">[1]DT_A_AMW93!#REF!</definedName>
    <definedName name="OBCLEASE">[16]Sheet1!$AF$4:$AI$23</definedName>
    <definedName name="Oct03AMA">[4]BS!$AH$7:$AH$3582</definedName>
    <definedName name="Oct04AMA">[2]BS!$AM$7:$AM$3582</definedName>
    <definedName name="octcf">#REF!</definedName>
    <definedName name="octcost">#REF!</definedName>
    <definedName name="OMtoggle">#REF!</definedName>
    <definedName name="OP_Mo_Year1">#REF!</definedName>
    <definedName name="OPCONT">#REF!</definedName>
    <definedName name="OPEXPPF">[20]model!#REF!</definedName>
    <definedName name="OPEXPRS">[5]model!#REF!</definedName>
    <definedName name="outlookdata">'[21]pivoted data'!$D$3:$Q$90</definedName>
    <definedName name="Page1">#REF!</definedName>
    <definedName name="Page2">#REF!</definedName>
    <definedName name="parasitic">#REF!</definedName>
    <definedName name="parasiticprice">#REF!</definedName>
    <definedName name="peak_new_table">'[22]2008 Extreme Peaks - 080403'!$E$5:$AD$8</definedName>
    <definedName name="peak_table">'[22]Peaks-F01'!$C$5:$E$243</definedName>
    <definedName name="PEBBLE">[5]model!#REF!</definedName>
    <definedName name="percdebtcov">#REF!</definedName>
    <definedName name="Percent_debt">[15]Inputs!$E$129</definedName>
    <definedName name="PERCENTAGES_CALCULATED">#REF!</definedName>
    <definedName name="percpersonal">#REF!</definedName>
    <definedName name="percreal">#REF!</definedName>
    <definedName name="personalproptaxadjust">#REF!</definedName>
    <definedName name="postclawdev">#REF!</definedName>
    <definedName name="postclawdevshar">#REF!</definedName>
    <definedName name="postclawtaxshar">#REF!</definedName>
    <definedName name="postclawtaxshare">#REF!</definedName>
    <definedName name="postpreftaxshar">#REF!</definedName>
    <definedName name="ppl_wkly_vect_input">#REF!</definedName>
    <definedName name="preferredreturn">#REF!</definedName>
    <definedName name="presentvaluedate">#REF!</definedName>
    <definedName name="pretaxdebt">#REF!</definedName>
    <definedName name="PreTaxDebtCost">[6]Assumptions!$I$56</definedName>
    <definedName name="pretaxequit">#REF!</definedName>
    <definedName name="PreTaxWACC">[6]Assumptions!$I$62</definedName>
    <definedName name="PriceCaseTable">#REF!</definedName>
    <definedName name="Prices_Aurora">'[14]Monthly Price Summary'!$C$4:$H$63</definedName>
    <definedName name="_xlnm.Print_Area" localSheetId="0">'Exhibit 2'!$A$1:$H$39</definedName>
    <definedName name="_xlnm.Print_Area" localSheetId="8">'Exhibit 3'!$A$1:$H$39</definedName>
    <definedName name="PRO_FORMA">#REF!</definedName>
    <definedName name="PRODADJ">[5]model!#REF!</definedName>
    <definedName name="Prodprop">#REF!</definedName>
    <definedName name="Production_Factor">#REF!</definedName>
    <definedName name="PROPSALES">[5]model!#REF!</definedName>
    <definedName name="proptaxdiscfactor">#REF!</definedName>
    <definedName name="proptaxrate">#REF!</definedName>
    <definedName name="Prov_Cap_Tax">[15]Inputs!$E$111</definedName>
    <definedName name="PSE">'[23]4.04'!$A$6</definedName>
    <definedName name="PSE_Pre_Tax_Equity_Rate">'[13]Assumptions of Purchase'!$B$42</definedName>
    <definedName name="PSEBPAshare">#REF!</definedName>
    <definedName name="pseownperc">#REF!</definedName>
    <definedName name="PSEWACC">#REF!</definedName>
    <definedName name="PSPL">#REF!</definedName>
    <definedName name="PTC">#REF!</definedName>
    <definedName name="ptceffective">#REF!</definedName>
    <definedName name="PTCescal">#REF!</definedName>
    <definedName name="ptcescalstart">#REF!</definedName>
    <definedName name="PWRCSTPF">[5]model!#REF!</definedName>
    <definedName name="PWRCSTRS">#REF!</definedName>
    <definedName name="PWRCSTWP">#REF!</definedName>
    <definedName name="PWRCSTWR">[5]model!#REF!</definedName>
    <definedName name="QA">[24]IPOA2002!#REF!</definedName>
    <definedName name="QTD_Format">[19]QTD!$B$11:$D$11,[19]QTD!$B$35:$D$35</definedName>
    <definedName name="RATE">#REF!</definedName>
    <definedName name="RATE2">'[10]Transp Data'!$A$8:$I$112</definedName>
    <definedName name="RATEBASE">#REF!</definedName>
    <definedName name="RATEBASE_U95">#REF!</definedName>
    <definedName name="RATECASE">[5]model!#REF!</definedName>
    <definedName name="RdSch_CY">'[25]INPUT TAB'!#REF!</definedName>
    <definedName name="RdSch_PY">'[25]INPUT TAB'!#REF!</definedName>
    <definedName name="RdSch_PY2">'[25]INPUT TAB'!#REF!</definedName>
    <definedName name="realproptaxadjust">#REF!</definedName>
    <definedName name="REC">#REF!</definedName>
    <definedName name="regasset">#REF!</definedName>
    <definedName name="resdebt">#REF!</definedName>
    <definedName name="resepcdevcost">#REF!</definedName>
    <definedName name="RESequit">#REF!</definedName>
    <definedName name="resource_lookup">'[26]#REF'!$B$3:$C$112</definedName>
    <definedName name="RESTATING">#REF!</definedName>
    <definedName name="Results">#REF!</definedName>
    <definedName name="retain">#REF!</definedName>
    <definedName name="RETIREPLAN">[5]model!#REF!</definedName>
    <definedName name="REV">#REF!</definedName>
    <definedName name="REVADJ">#REF!</definedName>
    <definedName name="Revenue">#REF!</definedName>
    <definedName name="REVREQ">#REF!</definedName>
    <definedName name="ROE">[5]model!#REF!</definedName>
    <definedName name="ROR">#REF!</definedName>
    <definedName name="royalty">#REF!</definedName>
    <definedName name="royenergyprice">#REF!</definedName>
    <definedName name="royescal">#REF!</definedName>
    <definedName name="roysched1perc">#REF!</definedName>
    <definedName name="roysched2perc">#REF!</definedName>
    <definedName name="SALESRESALEP">#REF!</definedName>
    <definedName name="SALESRESALER">#REF!</definedName>
    <definedName name="salestax">#REF!</definedName>
    <definedName name="Sch194Rlfwd">'[25]Sch94 Rlfwd'!$B$11</definedName>
    <definedName name="schedtoggle">#REF!</definedName>
    <definedName name="SecSSW_MWH">[1]DT_A_AMW93!#REF!</definedName>
    <definedName name="Sep03AMA">[4]BS!$AG$7:$AG$3582</definedName>
    <definedName name="Sep04AMA">[2]BS!$AL$7:$AL$3582</definedName>
    <definedName name="sepcf">#REF!</definedName>
    <definedName name="sepcost">#REF!</definedName>
    <definedName name="SKAGIT">[5]model!#REF!</definedName>
    <definedName name="SLFINSURANCE">#REF!</definedName>
    <definedName name="SolarDate">'[12]Dispatch Cases'!#REF!</definedName>
    <definedName name="STAFFREDUC">#REF!</definedName>
    <definedName name="StartDate">[6]Assumptions!$C$9</definedName>
    <definedName name="stationserv">#REF!</definedName>
    <definedName name="STORM">#REF!</definedName>
    <definedName name="SUMMARY">#REF!</definedName>
    <definedName name="supentit_in_wkly_vect_input">#REF!</definedName>
    <definedName name="supentit_out_wkly_vect_input">#REF!</definedName>
    <definedName name="SWSales_MWH">[1]DT_A_AMW93!#REF!</definedName>
    <definedName name="TAXCORPLIC">#REF!</definedName>
    <definedName name="TAXENERGYP">[5]model!#REF!</definedName>
    <definedName name="TAXENERGYR">[5]model!#REF!</definedName>
    <definedName name="TAXEXCISE">#REF!</definedName>
    <definedName name="TAXFICA">[5]model!#REF!</definedName>
    <definedName name="TAXFUT">[5]model!#REF!</definedName>
    <definedName name="TAXINCOME">#REF!</definedName>
    <definedName name="TAXMEDICARE">[5]model!#REF!</definedName>
    <definedName name="taxown">#REF!</definedName>
    <definedName name="TAXPFINT">[5]model!#REF!</definedName>
    <definedName name="TAXPROPERTY">#REF!</definedName>
    <definedName name="TAXSUT">[5]model!#REF!</definedName>
    <definedName name="tbl_Master">#REF!</definedName>
    <definedName name="TEMPADJ">[16]Sheet1!$A$4:$E$40</definedName>
    <definedName name="TenaskaShare">[12]Dispatch!#REF!</definedName>
    <definedName name="Test">[3]BS!#REF!</definedName>
    <definedName name="TEST0">#REF!</definedName>
    <definedName name="TESTHKEY">#REF!</definedName>
    <definedName name="TESTKEYS">#REF!</definedName>
    <definedName name="TESTVKEY">#REF!</definedName>
    <definedName name="TESTYEAR">#REF!</definedName>
    <definedName name="Therm_upload">#REF!</definedName>
    <definedName name="ThermalBookLife">[6]Assumptions!$C$25</definedName>
    <definedName name="therms">#REF!</definedName>
    <definedName name="thirdpartyIRR">#REF!</definedName>
    <definedName name="Title">[6]Assumptions!$A$1</definedName>
    <definedName name="today">#REF!</definedName>
    <definedName name="TopLeft">#REF!</definedName>
    <definedName name="totaldebt">#REF!</definedName>
    <definedName name="totalequit">#REF!</definedName>
    <definedName name="TRADING_NET">[1]DT_A_DOL93!#REF!</definedName>
    <definedName name="tran_revenue">#REF!</definedName>
    <definedName name="trans_constraint_y_n">#REF!</definedName>
    <definedName name="transdb">#REF!</definedName>
    <definedName name="turbinesize">#REF!</definedName>
    <definedName name="twoyrswarranty">#REF!</definedName>
    <definedName name="UBakerAvail">#REF!</definedName>
    <definedName name="UNITCOMPARE">#REF!</definedName>
    <definedName name="UNITCOSTS">#REF!</definedName>
    <definedName name="UTG">#REF!</definedName>
    <definedName name="UTN">#REF!</definedName>
    <definedName name="vartrans">#REF!</definedName>
    <definedName name="VOMEsc">[6]Assumptions!$C$21</definedName>
    <definedName name="WACC">[6]Assumptions!$I$61</definedName>
    <definedName name="WAGES">[5]model!#REF!</definedName>
    <definedName name="warrantyOM">#REF!</definedName>
    <definedName name="whorn_db">#REF!</definedName>
    <definedName name="WindDate">'[12]Dispatch Cases'!#REF!</definedName>
    <definedName name="WRKCAP">[5]model!#REF!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wp_wkly_vect_input">#REF!</definedName>
    <definedName name="Years_evaluated">'[27]Revison Inputs'!$B$6</definedName>
    <definedName name="YTD_Format">[19]YTD!$B$13:$D$13,[19]YTD!$B$36:$D$36</definedName>
    <definedName name="Z_6DB0C51A_CF2E_4524_B123_6AE855E84E26_.wvu.Cols" localSheetId="0" hidden="1">'Exhibit 2'!$C:$C</definedName>
    <definedName name="Z_6DB0C51A_CF2E_4524_B123_6AE855E84E26_.wvu.Cols" localSheetId="8" hidden="1">'Exhibit 3'!$C:$C</definedName>
    <definedName name="Z_6DB0C51A_CF2E_4524_B123_6AE855E84E26_.wvu.Cols" localSheetId="1" hidden="1">REs.Exc.Pr!$J:$J</definedName>
    <definedName name="Z_6DB0C51A_CF2E_4524_B123_6AE855E84E26_.wvu.PrintArea" localSheetId="0" hidden="1">'Exhibit 2'!$A$1:$H$39</definedName>
    <definedName name="Z_6DB0C51A_CF2E_4524_B123_6AE855E84E26_.wvu.PrintArea" localSheetId="8" hidden="1">'Exhibit 3'!$A$1:$H$39</definedName>
    <definedName name="Z_D9FD7722_CADB_4741_856E_53C9C7AFA1D2_.wvu.Cols" localSheetId="0" hidden="1">'Exhibit 2'!$C:$C</definedName>
    <definedName name="Z_D9FD7722_CADB_4741_856E_53C9C7AFA1D2_.wvu.Cols" localSheetId="8" hidden="1">'Exhibit 3'!$C:$C</definedName>
    <definedName name="Z_D9FD7722_CADB_4741_856E_53C9C7AFA1D2_.wvu.Cols" localSheetId="1" hidden="1">REs.Exc.Pr!$J:$J</definedName>
    <definedName name="Z_D9FD7722_CADB_4741_856E_53C9C7AFA1D2_.wvu.PrintArea" localSheetId="0" hidden="1">'Exhibit 2'!$A$1:$H$39</definedName>
    <definedName name="Z_D9FD7722_CADB_4741_856E_53C9C7AFA1D2_.wvu.PrintArea" localSheetId="8" hidden="1">'Exhibit 3'!$A$1:$H$39</definedName>
    <definedName name="zilfpldebtperc">#REF!</definedName>
  </definedNames>
  <calcPr calcId="125725"/>
  <customWorkbookViews>
    <customWorkbookView name="Krista Gross - Personal View" guid="{6DB0C51A-CF2E-4524-B123-6AE855E84E26}" mergeInterval="0" personalView="1" maximized="1" xWindow="1" yWindow="1" windowWidth="796" windowHeight="379" tabRatio="909" activeSheetId="9"/>
    <customWorkbookView name="Michael Foisy - Personal View" guid="{D9FD7722-CADB-4741-856E-53C9C7AFA1D2}" mergeInterval="0" personalView="1" maximized="1" xWindow="1" yWindow="1" windowWidth="1020" windowHeight="543" tabRatio="909" activeSheetId="9" showComments="commIndAndComment"/>
  </customWorkbookViews>
</workbook>
</file>

<file path=xl/calcChain.xml><?xml version="1.0" encoding="utf-8"?>
<calcChain xmlns="http://schemas.openxmlformats.org/spreadsheetml/2006/main">
  <c r="F28" i="9"/>
  <c r="F15" l="1"/>
  <c r="E15"/>
  <c r="G28"/>
  <c r="E28"/>
  <c r="H27"/>
  <c r="H26"/>
  <c r="H25"/>
  <c r="H24"/>
  <c r="H23"/>
  <c r="H22"/>
  <c r="H21"/>
  <c r="H20"/>
  <c r="H14"/>
  <c r="H15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G15" l="1"/>
  <c r="H28"/>
  <c r="H30" s="1"/>
  <c r="H31" l="1"/>
  <c r="H33" s="1"/>
  <c r="H13" i="1" l="1"/>
  <c r="F32"/>
  <c r="H30"/>
  <c r="H29"/>
  <c r="H28"/>
  <c r="H27"/>
  <c r="H26"/>
  <c r="H25"/>
  <c r="H24"/>
  <c r="H23"/>
  <c r="H22"/>
  <c r="G32"/>
  <c r="E32"/>
  <c r="H19"/>
  <c r="H32" s="1"/>
  <c r="B8" i="6"/>
  <c r="C8"/>
  <c r="D8"/>
  <c r="E8"/>
  <c r="N8" s="1"/>
  <c r="F8"/>
  <c r="G8"/>
  <c r="H8"/>
  <c r="I8"/>
  <c r="J8"/>
  <c r="K8"/>
  <c r="L8"/>
  <c r="M8"/>
  <c r="B9"/>
  <c r="C9"/>
  <c r="D9"/>
  <c r="E9"/>
  <c r="N9" s="1"/>
  <c r="P9" s="1"/>
  <c r="F9"/>
  <c r="G9"/>
  <c r="H9"/>
  <c r="I9"/>
  <c r="J9"/>
  <c r="K9"/>
  <c r="L9"/>
  <c r="M9"/>
  <c r="B10"/>
  <c r="C10"/>
  <c r="D10"/>
  <c r="E10"/>
  <c r="N10" s="1"/>
  <c r="P10" s="1"/>
  <c r="F10"/>
  <c r="G10"/>
  <c r="H10"/>
  <c r="I10"/>
  <c r="J10"/>
  <c r="K10"/>
  <c r="L10"/>
  <c r="M10"/>
  <c r="B11"/>
  <c r="C11"/>
  <c r="D11"/>
  <c r="E11"/>
  <c r="N11" s="1"/>
  <c r="P11" s="1"/>
  <c r="F11"/>
  <c r="G11"/>
  <c r="H11"/>
  <c r="I11"/>
  <c r="J11"/>
  <c r="K11"/>
  <c r="L11"/>
  <c r="M11"/>
  <c r="B12"/>
  <c r="C12"/>
  <c r="N12" s="1"/>
  <c r="P12" s="1"/>
  <c r="D12"/>
  <c r="E12"/>
  <c r="F12"/>
  <c r="G12"/>
  <c r="H12"/>
  <c r="I12"/>
  <c r="J12"/>
  <c r="K12"/>
  <c r="L12"/>
  <c r="M12"/>
  <c r="B13"/>
  <c r="C13"/>
  <c r="N13" s="1"/>
  <c r="P13" s="1"/>
  <c r="D13"/>
  <c r="E13"/>
  <c r="F13"/>
  <c r="G13"/>
  <c r="H13"/>
  <c r="I13"/>
  <c r="J13"/>
  <c r="K13"/>
  <c r="L13"/>
  <c r="M13"/>
  <c r="B14"/>
  <c r="C14"/>
  <c r="N14" s="1"/>
  <c r="D14"/>
  <c r="E14"/>
  <c r="F14"/>
  <c r="G14"/>
  <c r="H14"/>
  <c r="I14"/>
  <c r="J14"/>
  <c r="K14"/>
  <c r="L14"/>
  <c r="M14"/>
  <c r="B15"/>
  <c r="C15"/>
  <c r="N15" s="1"/>
  <c r="P15" s="1"/>
  <c r="D15"/>
  <c r="E15"/>
  <c r="F15"/>
  <c r="G15"/>
  <c r="H15"/>
  <c r="I15"/>
  <c r="J15"/>
  <c r="K15"/>
  <c r="L15"/>
  <c r="M15"/>
  <c r="B16"/>
  <c r="C16"/>
  <c r="N16" s="1"/>
  <c r="P16" s="1"/>
  <c r="D16"/>
  <c r="E16"/>
  <c r="F16"/>
  <c r="G16"/>
  <c r="H16"/>
  <c r="I16"/>
  <c r="J16"/>
  <c r="K16"/>
  <c r="L16"/>
  <c r="M16"/>
  <c r="B17"/>
  <c r="C17"/>
  <c r="D17"/>
  <c r="E17"/>
  <c r="F17"/>
  <c r="G17"/>
  <c r="H17"/>
  <c r="I17"/>
  <c r="J17"/>
  <c r="K17"/>
  <c r="L17"/>
  <c r="M17"/>
  <c r="N17"/>
  <c r="P17" s="1"/>
  <c r="B18"/>
  <c r="N18" s="1"/>
  <c r="P18" s="1"/>
  <c r="C18"/>
  <c r="D18"/>
  <c r="E18"/>
  <c r="F18"/>
  <c r="G18"/>
  <c r="H18"/>
  <c r="A24"/>
  <c r="B24"/>
  <c r="C24"/>
  <c r="D24"/>
  <c r="E24"/>
  <c r="F24"/>
  <c r="G24"/>
  <c r="H24"/>
  <c r="I24"/>
  <c r="J24"/>
  <c r="K24"/>
  <c r="L24"/>
  <c r="M24"/>
  <c r="N24"/>
  <c r="P24" s="1"/>
  <c r="A25"/>
  <c r="A26" s="1"/>
  <c r="A27" s="1"/>
  <c r="A28" s="1"/>
  <c r="A29" s="1"/>
  <c r="A30" s="1"/>
  <c r="A31" s="1"/>
  <c r="A32" s="1"/>
  <c r="A33" s="1"/>
  <c r="A34" s="1"/>
  <c r="B25"/>
  <c r="C25"/>
  <c r="N25" s="1"/>
  <c r="D25"/>
  <c r="E25"/>
  <c r="F25"/>
  <c r="G25"/>
  <c r="H25"/>
  <c r="I25"/>
  <c r="J25"/>
  <c r="K25"/>
  <c r="L25"/>
  <c r="M25"/>
  <c r="B26"/>
  <c r="C26"/>
  <c r="D26"/>
  <c r="E26"/>
  <c r="F26"/>
  <c r="G26"/>
  <c r="H26"/>
  <c r="I26"/>
  <c r="J26"/>
  <c r="K26"/>
  <c r="L26"/>
  <c r="M26"/>
  <c r="N26"/>
  <c r="P26" s="1"/>
  <c r="B27"/>
  <c r="C27"/>
  <c r="N27" s="1"/>
  <c r="P27" s="1"/>
  <c r="D27"/>
  <c r="E27"/>
  <c r="F27"/>
  <c r="G27"/>
  <c r="H27"/>
  <c r="I27"/>
  <c r="J27"/>
  <c r="K27"/>
  <c r="L27"/>
  <c r="M27"/>
  <c r="B28"/>
  <c r="C28"/>
  <c r="D28"/>
  <c r="E28"/>
  <c r="F28"/>
  <c r="G28"/>
  <c r="H28"/>
  <c r="I28"/>
  <c r="J28"/>
  <c r="K28"/>
  <c r="L28"/>
  <c r="M28"/>
  <c r="N28"/>
  <c r="P28" s="1"/>
  <c r="B29"/>
  <c r="C29"/>
  <c r="N29" s="1"/>
  <c r="P29" s="1"/>
  <c r="D29"/>
  <c r="E29"/>
  <c r="F29"/>
  <c r="G29"/>
  <c r="H29"/>
  <c r="I29"/>
  <c r="J29"/>
  <c r="K29"/>
  <c r="L29"/>
  <c r="M29"/>
  <c r="B30"/>
  <c r="C30"/>
  <c r="D30"/>
  <c r="E30"/>
  <c r="F30"/>
  <c r="G30"/>
  <c r="H30"/>
  <c r="I30"/>
  <c r="J30"/>
  <c r="K30"/>
  <c r="L30"/>
  <c r="M30"/>
  <c r="N30"/>
  <c r="P30" s="1"/>
  <c r="B31"/>
  <c r="C31"/>
  <c r="N31" s="1"/>
  <c r="P31" s="1"/>
  <c r="D31"/>
  <c r="E31"/>
  <c r="F31"/>
  <c r="G31"/>
  <c r="H31"/>
  <c r="I31"/>
  <c r="J31"/>
  <c r="K31"/>
  <c r="L31"/>
  <c r="M31"/>
  <c r="B32"/>
  <c r="C32"/>
  <c r="D32"/>
  <c r="E32"/>
  <c r="F32"/>
  <c r="G32"/>
  <c r="H32"/>
  <c r="I32"/>
  <c r="J32"/>
  <c r="K32"/>
  <c r="L32"/>
  <c r="M32"/>
  <c r="N32"/>
  <c r="P32" s="1"/>
  <c r="B33"/>
  <c r="C33"/>
  <c r="N33" s="1"/>
  <c r="P33" s="1"/>
  <c r="D33"/>
  <c r="E33"/>
  <c r="F33"/>
  <c r="G33"/>
  <c r="H33"/>
  <c r="I33"/>
  <c r="J33"/>
  <c r="K33"/>
  <c r="L33"/>
  <c r="M33"/>
  <c r="B34"/>
  <c r="N34" s="1"/>
  <c r="P34" s="1"/>
  <c r="C34"/>
  <c r="D34"/>
  <c r="D35" s="1"/>
  <c r="E34"/>
  <c r="F34"/>
  <c r="F35" s="1"/>
  <c r="G34"/>
  <c r="H34"/>
  <c r="H35" s="1"/>
  <c r="C35"/>
  <c r="E35"/>
  <c r="G35"/>
  <c r="I35"/>
  <c r="J35"/>
  <c r="K35"/>
  <c r="L35"/>
  <c r="M35"/>
  <c r="I41"/>
  <c r="J41"/>
  <c r="K41"/>
  <c r="L41"/>
  <c r="M41"/>
  <c r="N41"/>
  <c r="P41" s="1"/>
  <c r="B42"/>
  <c r="C42"/>
  <c r="D42"/>
  <c r="E42"/>
  <c r="F42"/>
  <c r="G42"/>
  <c r="H42"/>
  <c r="I42"/>
  <c r="J42"/>
  <c r="K42"/>
  <c r="L42"/>
  <c r="M42"/>
  <c r="N42"/>
  <c r="P42" s="1"/>
  <c r="B43"/>
  <c r="C43"/>
  <c r="D43"/>
  <c r="E43"/>
  <c r="F43"/>
  <c r="G43"/>
  <c r="H43"/>
  <c r="I43"/>
  <c r="J43"/>
  <c r="K43"/>
  <c r="L43"/>
  <c r="M43"/>
  <c r="N43"/>
  <c r="P43" s="1"/>
  <c r="B44"/>
  <c r="C44"/>
  <c r="D44"/>
  <c r="E44"/>
  <c r="F44"/>
  <c r="G44"/>
  <c r="H44"/>
  <c r="I44"/>
  <c r="J44"/>
  <c r="K44"/>
  <c r="L44"/>
  <c r="M44"/>
  <c r="N44"/>
  <c r="P44" s="1"/>
  <c r="B45"/>
  <c r="C45"/>
  <c r="D45"/>
  <c r="E45"/>
  <c r="F45"/>
  <c r="G45"/>
  <c r="H45"/>
  <c r="I45"/>
  <c r="J45"/>
  <c r="K45"/>
  <c r="L45"/>
  <c r="M45"/>
  <c r="N45"/>
  <c r="P45" s="1"/>
  <c r="B46"/>
  <c r="C46"/>
  <c r="D46"/>
  <c r="E46"/>
  <c r="F46"/>
  <c r="G46"/>
  <c r="H46"/>
  <c r="I46"/>
  <c r="J46"/>
  <c r="K46"/>
  <c r="L46"/>
  <c r="M46"/>
  <c r="N46"/>
  <c r="P46" s="1"/>
  <c r="B47"/>
  <c r="C47"/>
  <c r="D47"/>
  <c r="E47"/>
  <c r="F47"/>
  <c r="G47"/>
  <c r="H47"/>
  <c r="I47"/>
  <c r="J47"/>
  <c r="K47"/>
  <c r="L47"/>
  <c r="M47"/>
  <c r="N47"/>
  <c r="P47" s="1"/>
  <c r="B48"/>
  <c r="C48"/>
  <c r="D48"/>
  <c r="E48"/>
  <c r="F48"/>
  <c r="G48"/>
  <c r="H48"/>
  <c r="I48"/>
  <c r="J48"/>
  <c r="K48"/>
  <c r="L48"/>
  <c r="M48"/>
  <c r="N48"/>
  <c r="P48" s="1"/>
  <c r="B49"/>
  <c r="C49"/>
  <c r="D49"/>
  <c r="E49"/>
  <c r="F49"/>
  <c r="G49"/>
  <c r="H49"/>
  <c r="I49"/>
  <c r="J49"/>
  <c r="K49"/>
  <c r="L49"/>
  <c r="M49"/>
  <c r="N49"/>
  <c r="P49" s="1"/>
  <c r="B50"/>
  <c r="C50"/>
  <c r="D50"/>
  <c r="E50"/>
  <c r="F50"/>
  <c r="G50"/>
  <c r="H50"/>
  <c r="I50"/>
  <c r="J50"/>
  <c r="K50"/>
  <c r="L50"/>
  <c r="M50"/>
  <c r="N50"/>
  <c r="P50" s="1"/>
  <c r="B51"/>
  <c r="N51" s="1"/>
  <c r="C51"/>
  <c r="D51"/>
  <c r="E51"/>
  <c r="F51"/>
  <c r="G51"/>
  <c r="H51"/>
  <c r="C52"/>
  <c r="D52"/>
  <c r="E52"/>
  <c r="F52"/>
  <c r="G52"/>
  <c r="H52"/>
  <c r="I52"/>
  <c r="J52"/>
  <c r="K52"/>
  <c r="L52"/>
  <c r="M52"/>
  <c r="J56"/>
  <c r="K56"/>
  <c r="L56"/>
  <c r="M56"/>
  <c r="N56"/>
  <c r="O56"/>
  <c r="P56"/>
  <c r="C57"/>
  <c r="D57"/>
  <c r="E57"/>
  <c r="F57"/>
  <c r="G57"/>
  <c r="H57"/>
  <c r="I57"/>
  <c r="J57"/>
  <c r="K57"/>
  <c r="L57"/>
  <c r="M57"/>
  <c r="N57"/>
  <c r="O57"/>
  <c r="P57" s="1"/>
  <c r="B58"/>
  <c r="C58" s="1"/>
  <c r="D58"/>
  <c r="E58"/>
  <c r="F58"/>
  <c r="G58"/>
  <c r="H58"/>
  <c r="I58"/>
  <c r="J58"/>
  <c r="K58"/>
  <c r="L58"/>
  <c r="M58"/>
  <c r="N58"/>
  <c r="B59"/>
  <c r="C59"/>
  <c r="D59"/>
  <c r="E59"/>
  <c r="F59"/>
  <c r="G59"/>
  <c r="H59"/>
  <c r="I59"/>
  <c r="J59"/>
  <c r="K59"/>
  <c r="L59"/>
  <c r="M59"/>
  <c r="N59"/>
  <c r="O59"/>
  <c r="P59" s="1"/>
  <c r="B60"/>
  <c r="C60" s="1"/>
  <c r="D60"/>
  <c r="F60"/>
  <c r="H60"/>
  <c r="J60"/>
  <c r="K60"/>
  <c r="L60"/>
  <c r="M60"/>
  <c r="N60"/>
  <c r="B61"/>
  <c r="C61"/>
  <c r="D61"/>
  <c r="E61"/>
  <c r="F61"/>
  <c r="G61"/>
  <c r="H61"/>
  <c r="I61"/>
  <c r="J61"/>
  <c r="K61"/>
  <c r="L61"/>
  <c r="M61"/>
  <c r="N61"/>
  <c r="O61"/>
  <c r="P61" s="1"/>
  <c r="B62"/>
  <c r="C62" s="1"/>
  <c r="D62"/>
  <c r="F62"/>
  <c r="H62"/>
  <c r="J62"/>
  <c r="K62"/>
  <c r="L62"/>
  <c r="M62"/>
  <c r="N62"/>
  <c r="B63"/>
  <c r="C63"/>
  <c r="D63"/>
  <c r="E63"/>
  <c r="F63"/>
  <c r="G63"/>
  <c r="H63"/>
  <c r="I63"/>
  <c r="J63"/>
  <c r="K63"/>
  <c r="L63"/>
  <c r="M63"/>
  <c r="N63"/>
  <c r="O63"/>
  <c r="P63" s="1"/>
  <c r="B64"/>
  <c r="C64" s="1"/>
  <c r="D64"/>
  <c r="F64"/>
  <c r="H64"/>
  <c r="J64"/>
  <c r="K64"/>
  <c r="L64"/>
  <c r="M64"/>
  <c r="N64"/>
  <c r="B65"/>
  <c r="C65"/>
  <c r="D65"/>
  <c r="E65"/>
  <c r="F65"/>
  <c r="G65"/>
  <c r="H65"/>
  <c r="I65"/>
  <c r="J65"/>
  <c r="K65"/>
  <c r="L65"/>
  <c r="M65"/>
  <c r="N65"/>
  <c r="O65"/>
  <c r="P65" s="1"/>
  <c r="B66"/>
  <c r="C66" s="1"/>
  <c r="D66"/>
  <c r="D67" s="1"/>
  <c r="F66"/>
  <c r="H66"/>
  <c r="F67"/>
  <c r="H67"/>
  <c r="J67"/>
  <c r="K67"/>
  <c r="L67"/>
  <c r="M67"/>
  <c r="N67"/>
  <c r="I74"/>
  <c r="J74"/>
  <c r="K74"/>
  <c r="L74"/>
  <c r="M74"/>
  <c r="N74"/>
  <c r="P74"/>
  <c r="B75"/>
  <c r="C75"/>
  <c r="D75"/>
  <c r="E75"/>
  <c r="F75"/>
  <c r="G75"/>
  <c r="H75"/>
  <c r="I75"/>
  <c r="J75"/>
  <c r="K75"/>
  <c r="L75"/>
  <c r="M75"/>
  <c r="N75"/>
  <c r="P75"/>
  <c r="B76"/>
  <c r="C76"/>
  <c r="D76"/>
  <c r="E76"/>
  <c r="F76"/>
  <c r="G76"/>
  <c r="H76"/>
  <c r="I76"/>
  <c r="J76"/>
  <c r="K76"/>
  <c r="L76"/>
  <c r="M76"/>
  <c r="N76" s="1"/>
  <c r="B77"/>
  <c r="C77"/>
  <c r="D77"/>
  <c r="E77"/>
  <c r="F77"/>
  <c r="G77"/>
  <c r="H77"/>
  <c r="I77"/>
  <c r="J77"/>
  <c r="K77"/>
  <c r="L77"/>
  <c r="M77"/>
  <c r="N77"/>
  <c r="P77" s="1"/>
  <c r="B78"/>
  <c r="C78"/>
  <c r="D78"/>
  <c r="E78"/>
  <c r="F78"/>
  <c r="G78"/>
  <c r="H78"/>
  <c r="I78"/>
  <c r="J78"/>
  <c r="K78"/>
  <c r="L78"/>
  <c r="M78"/>
  <c r="N78"/>
  <c r="P78"/>
  <c r="B79"/>
  <c r="C79"/>
  <c r="D79"/>
  <c r="E79"/>
  <c r="F79"/>
  <c r="G79"/>
  <c r="H79"/>
  <c r="I79"/>
  <c r="J79"/>
  <c r="K79"/>
  <c r="L79"/>
  <c r="M79"/>
  <c r="N79"/>
  <c r="P79"/>
  <c r="B80"/>
  <c r="C80"/>
  <c r="D80"/>
  <c r="E80"/>
  <c r="F80"/>
  <c r="G80"/>
  <c r="H80"/>
  <c r="I80"/>
  <c r="J80"/>
  <c r="K80"/>
  <c r="L80"/>
  <c r="M80"/>
  <c r="N80"/>
  <c r="P80" s="1"/>
  <c r="B81"/>
  <c r="C81"/>
  <c r="D81"/>
  <c r="E81"/>
  <c r="F81"/>
  <c r="G81"/>
  <c r="H81"/>
  <c r="I81"/>
  <c r="J81"/>
  <c r="K81"/>
  <c r="L81"/>
  <c r="M81"/>
  <c r="N81"/>
  <c r="P81"/>
  <c r="B82"/>
  <c r="C82"/>
  <c r="D82"/>
  <c r="E82"/>
  <c r="F82"/>
  <c r="G82"/>
  <c r="H82"/>
  <c r="I82"/>
  <c r="J82"/>
  <c r="K82"/>
  <c r="L82"/>
  <c r="M82"/>
  <c r="N82"/>
  <c r="P82"/>
  <c r="B83"/>
  <c r="C83"/>
  <c r="D83"/>
  <c r="E83"/>
  <c r="F83"/>
  <c r="G83"/>
  <c r="H83"/>
  <c r="I83"/>
  <c r="J83"/>
  <c r="K83"/>
  <c r="L83"/>
  <c r="M83"/>
  <c r="N83"/>
  <c r="P83" s="1"/>
  <c r="B84"/>
  <c r="C84"/>
  <c r="D84"/>
  <c r="E84"/>
  <c r="F84"/>
  <c r="G84"/>
  <c r="H84"/>
  <c r="N84"/>
  <c r="P84"/>
  <c r="I91"/>
  <c r="J91"/>
  <c r="K91"/>
  <c r="L91"/>
  <c r="M91"/>
  <c r="N91"/>
  <c r="P91"/>
  <c r="B92"/>
  <c r="C92"/>
  <c r="D92"/>
  <c r="E92"/>
  <c r="F92"/>
  <c r="G92"/>
  <c r="H92"/>
  <c r="I92"/>
  <c r="J92"/>
  <c r="K92"/>
  <c r="N92" s="1"/>
  <c r="L92"/>
  <c r="M92"/>
  <c r="B93"/>
  <c r="C93"/>
  <c r="D93"/>
  <c r="E93"/>
  <c r="F93"/>
  <c r="G93"/>
  <c r="H93"/>
  <c r="I93"/>
  <c r="J93"/>
  <c r="K93"/>
  <c r="N93" s="1"/>
  <c r="P93" s="1"/>
  <c r="L93"/>
  <c r="M93"/>
  <c r="B94"/>
  <c r="C94"/>
  <c r="D94"/>
  <c r="E94"/>
  <c r="F94"/>
  <c r="G94"/>
  <c r="H94"/>
  <c r="I94"/>
  <c r="J94"/>
  <c r="K94"/>
  <c r="L94"/>
  <c r="M94"/>
  <c r="N94" s="1"/>
  <c r="P94" s="1"/>
  <c r="B95"/>
  <c r="C95"/>
  <c r="D95"/>
  <c r="E95"/>
  <c r="F95"/>
  <c r="G95"/>
  <c r="H95"/>
  <c r="I95"/>
  <c r="J95"/>
  <c r="K95"/>
  <c r="L95"/>
  <c r="M95"/>
  <c r="N95"/>
  <c r="P95" s="1"/>
  <c r="B96"/>
  <c r="C96"/>
  <c r="D96"/>
  <c r="E96"/>
  <c r="F96"/>
  <c r="G96"/>
  <c r="H96"/>
  <c r="I96"/>
  <c r="J96"/>
  <c r="K96"/>
  <c r="L96"/>
  <c r="M96"/>
  <c r="N96" s="1"/>
  <c r="P96" s="1"/>
  <c r="B97"/>
  <c r="C97"/>
  <c r="D97"/>
  <c r="E97"/>
  <c r="F97"/>
  <c r="G97"/>
  <c r="H97"/>
  <c r="I97"/>
  <c r="J97"/>
  <c r="K97"/>
  <c r="N97" s="1"/>
  <c r="L97"/>
  <c r="M97"/>
  <c r="B98"/>
  <c r="C98"/>
  <c r="D98"/>
  <c r="E98"/>
  <c r="F98"/>
  <c r="G98"/>
  <c r="H98"/>
  <c r="I98"/>
  <c r="J98"/>
  <c r="K98"/>
  <c r="L98"/>
  <c r="M98"/>
  <c r="N98"/>
  <c r="P98"/>
  <c r="B99"/>
  <c r="C99"/>
  <c r="D99"/>
  <c r="E99"/>
  <c r="F99"/>
  <c r="G99"/>
  <c r="H99"/>
  <c r="I99"/>
  <c r="N99" s="1"/>
  <c r="P99" s="1"/>
  <c r="J99"/>
  <c r="K99"/>
  <c r="L99"/>
  <c r="M99"/>
  <c r="N100"/>
  <c r="P100" s="1"/>
  <c r="B101"/>
  <c r="C101"/>
  <c r="D101"/>
  <c r="N101" s="1"/>
  <c r="P101" s="1"/>
  <c r="E101"/>
  <c r="F101"/>
  <c r="G101"/>
  <c r="H101"/>
  <c r="N106"/>
  <c r="N107"/>
  <c r="N108"/>
  <c r="N109"/>
  <c r="N110"/>
  <c r="N111"/>
  <c r="O113" s="1"/>
  <c r="N112"/>
  <c r="N113"/>
  <c r="N114"/>
  <c r="N115"/>
  <c r="N116"/>
  <c r="E117"/>
  <c r="N119"/>
  <c r="N120"/>
  <c r="N121"/>
  <c r="N122"/>
  <c r="N123"/>
  <c r="N124"/>
  <c r="N125"/>
  <c r="N126"/>
  <c r="N127"/>
  <c r="N128"/>
  <c r="N129"/>
  <c r="N132"/>
  <c r="N133"/>
  <c r="N134"/>
  <c r="N135"/>
  <c r="N136"/>
  <c r="N137"/>
  <c r="N138"/>
  <c r="N139"/>
  <c r="N140"/>
  <c r="N141"/>
  <c r="N142"/>
  <c r="N143"/>
  <c r="C9" i="8"/>
  <c r="C18" s="1"/>
  <c r="C10"/>
  <c r="C30" s="1"/>
  <c r="C11"/>
  <c r="C42" s="1"/>
  <c r="C12"/>
  <c r="C54" s="1"/>
  <c r="J20" i="5"/>
  <c r="J30" s="1"/>
  <c r="J31" s="1"/>
  <c r="J25"/>
  <c r="J26"/>
  <c r="J27" s="1"/>
  <c r="J29"/>
  <c r="B8" i="4"/>
  <c r="B13"/>
  <c r="C11" s="1"/>
  <c r="B18"/>
  <c r="C16" s="1"/>
  <c r="B23"/>
  <c r="C21" s="1"/>
  <c r="B27"/>
  <c r="B28" s="1"/>
  <c r="B32"/>
  <c r="B33" s="1"/>
  <c r="B42"/>
  <c r="B43"/>
  <c r="B44"/>
  <c r="C42" s="1"/>
  <c r="H30" i="3"/>
  <c r="G35" s="1"/>
  <c r="K30"/>
  <c r="G36" s="1"/>
  <c r="N30"/>
  <c r="C23"/>
  <c r="F20"/>
  <c r="I25"/>
  <c r="L12"/>
  <c r="L14" s="1"/>
  <c r="O12"/>
  <c r="O14" s="1"/>
  <c r="G37"/>
  <c r="A1" i="2"/>
  <c r="A2"/>
  <c r="A3"/>
  <c r="A4"/>
  <c r="A5"/>
  <c r="A6"/>
  <c r="F6"/>
  <c r="D8" s="1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12" i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F22" i="3"/>
  <c r="I19"/>
  <c r="C16"/>
  <c r="D16"/>
  <c r="C17"/>
  <c r="D17"/>
  <c r="C18"/>
  <c r="D18"/>
  <c r="C19"/>
  <c r="D19"/>
  <c r="C20"/>
  <c r="D20"/>
  <c r="C21"/>
  <c r="D21"/>
  <c r="C22"/>
  <c r="D22"/>
  <c r="D23" s="1"/>
  <c r="D24" s="1"/>
  <c r="D25" s="1"/>
  <c r="D26" s="1"/>
  <c r="D27" s="1"/>
  <c r="D28" s="1"/>
  <c r="D30" s="1"/>
  <c r="I33" s="1"/>
  <c r="I38" s="1"/>
  <c r="I40" s="1"/>
  <c r="C24"/>
  <c r="C25"/>
  <c r="C26"/>
  <c r="C27"/>
  <c r="C28"/>
  <c r="L27"/>
  <c r="L25"/>
  <c r="L23"/>
  <c r="L21"/>
  <c r="L19"/>
  <c r="L17"/>
  <c r="L30"/>
  <c r="H36" s="1"/>
  <c r="F16"/>
  <c r="G16" s="1"/>
  <c r="L28"/>
  <c r="I28"/>
  <c r="F27"/>
  <c r="L26"/>
  <c r="I26"/>
  <c r="L24"/>
  <c r="I24"/>
  <c r="L22"/>
  <c r="I22"/>
  <c r="L20"/>
  <c r="I20"/>
  <c r="F19"/>
  <c r="L18"/>
  <c r="I18"/>
  <c r="L16"/>
  <c r="M16" s="1"/>
  <c r="I16"/>
  <c r="J16" s="1"/>
  <c r="I27"/>
  <c r="I23"/>
  <c r="I21"/>
  <c r="O22"/>
  <c r="F25"/>
  <c r="O25"/>
  <c r="I17"/>
  <c r="I30"/>
  <c r="H35" s="1"/>
  <c r="C50" i="8"/>
  <c r="C46"/>
  <c r="C40"/>
  <c r="C32"/>
  <c r="B30" i="3"/>
  <c r="G33" s="1"/>
  <c r="G38" s="1"/>
  <c r="G40" s="1"/>
  <c r="C30"/>
  <c r="H33" s="1"/>
  <c r="H38" s="1"/>
  <c r="H40" s="1"/>
  <c r="D31" i="2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H8"/>
  <c r="D39" s="1"/>
  <c r="D41" s="1"/>
  <c r="C34" i="8"/>
  <c r="C44"/>
  <c r="C48"/>
  <c r="C52"/>
  <c r="O23" i="3"/>
  <c r="O17"/>
  <c r="O30"/>
  <c r="H37" s="1"/>
  <c r="F12"/>
  <c r="F14" s="1"/>
  <c r="F21"/>
  <c r="O18"/>
  <c r="O20"/>
  <c r="F23"/>
  <c r="E30"/>
  <c r="G34" s="1"/>
  <c r="C12"/>
  <c r="C14" s="1"/>
  <c r="C51" i="8"/>
  <c r="C47"/>
  <c r="C43"/>
  <c r="C35"/>
  <c r="F26" i="3"/>
  <c r="F24"/>
  <c r="F18"/>
  <c r="I12"/>
  <c r="I14" s="1"/>
  <c r="F17"/>
  <c r="F30" s="1"/>
  <c r="H34" s="1"/>
  <c r="F28"/>
  <c r="H32" i="2"/>
  <c r="O28" i="3"/>
  <c r="O16"/>
  <c r="P16" s="1"/>
  <c r="O26"/>
  <c r="O19"/>
  <c r="O27"/>
  <c r="O21"/>
  <c r="O24"/>
  <c r="C49" i="8"/>
  <c r="C41"/>
  <c r="C33"/>
  <c r="G17" i="3"/>
  <c r="G18" s="1"/>
  <c r="G19" s="1"/>
  <c r="G20" s="1"/>
  <c r="G21" s="1"/>
  <c r="G22" s="1"/>
  <c r="G23" s="1"/>
  <c r="G24" s="1"/>
  <c r="G25" s="1"/>
  <c r="G26" s="1"/>
  <c r="G27" s="1"/>
  <c r="G28" s="1"/>
  <c r="G30" s="1"/>
  <c r="I34" s="1"/>
  <c r="C45" i="8"/>
  <c r="C29"/>
  <c r="C53"/>
  <c r="J17" i="3"/>
  <c r="J18"/>
  <c r="J19" s="1"/>
  <c r="J20" s="1"/>
  <c r="J21" s="1"/>
  <c r="J22" s="1"/>
  <c r="J23" s="1"/>
  <c r="J24" s="1"/>
  <c r="J25" s="1"/>
  <c r="J26" s="1"/>
  <c r="J27" s="1"/>
  <c r="J28" s="1"/>
  <c r="J30" s="1"/>
  <c r="I35" s="1"/>
  <c r="M17"/>
  <c r="M18"/>
  <c r="M19" s="1"/>
  <c r="M20" s="1"/>
  <c r="M21" s="1"/>
  <c r="M22" s="1"/>
  <c r="M23" s="1"/>
  <c r="M24" s="1"/>
  <c r="M25" s="1"/>
  <c r="M26" s="1"/>
  <c r="M27" s="1"/>
  <c r="M28" s="1"/>
  <c r="M30" s="1"/>
  <c r="I36" s="1"/>
  <c r="C37" i="8"/>
  <c r="C28" l="1"/>
  <c r="C24"/>
  <c r="C20"/>
  <c r="C26"/>
  <c r="C22"/>
  <c r="C17"/>
  <c r="C31"/>
  <c r="C39"/>
  <c r="C55"/>
  <c r="D11"/>
  <c r="C38"/>
  <c r="C36"/>
  <c r="C56"/>
  <c r="C27"/>
  <c r="C25"/>
  <c r="C23"/>
  <c r="C21"/>
  <c r="C19"/>
  <c r="E22" s="1"/>
  <c r="C57" s="1"/>
  <c r="D32" i="2"/>
  <c r="D34" s="1"/>
  <c r="F8"/>
  <c r="D36"/>
  <c r="P17" i="3"/>
  <c r="P18" s="1"/>
  <c r="P19" s="1"/>
  <c r="P20" s="1"/>
  <c r="P21" s="1"/>
  <c r="P22" s="1"/>
  <c r="P23" s="1"/>
  <c r="P24" s="1"/>
  <c r="P25" s="1"/>
  <c r="P26" s="1"/>
  <c r="P27" s="1"/>
  <c r="P28" s="1"/>
  <c r="P30" s="1"/>
  <c r="I37" s="1"/>
  <c r="C43" i="4"/>
  <c r="C17"/>
  <c r="C18"/>
  <c r="P97" i="6"/>
  <c r="O99"/>
  <c r="N85"/>
  <c r="P76"/>
  <c r="P85" s="1"/>
  <c r="O58"/>
  <c r="C67"/>
  <c r="N52"/>
  <c r="P51"/>
  <c r="P14"/>
  <c r="O16"/>
  <c r="N19"/>
  <c r="P8"/>
  <c r="P52"/>
  <c r="C22" i="4"/>
  <c r="D22" s="1"/>
  <c r="D11"/>
  <c r="D16" s="1"/>
  <c r="C13"/>
  <c r="C12"/>
  <c r="D12" s="1"/>
  <c r="D21" s="1"/>
  <c r="D23" s="1"/>
  <c r="P92" i="6"/>
  <c r="P102" s="1"/>
  <c r="N102"/>
  <c r="N35"/>
  <c r="P25"/>
  <c r="P35" s="1"/>
  <c r="O82"/>
  <c r="I66"/>
  <c r="G66"/>
  <c r="E66"/>
  <c r="O66" s="1"/>
  <c r="P66" s="1"/>
  <c r="I64"/>
  <c r="G64"/>
  <c r="E64"/>
  <c r="O64" s="1"/>
  <c r="P64" s="1"/>
  <c r="I62"/>
  <c r="G62"/>
  <c r="E62"/>
  <c r="O62" s="1"/>
  <c r="P62" s="1"/>
  <c r="I60"/>
  <c r="G60"/>
  <c r="G67" s="1"/>
  <c r="E60"/>
  <c r="E67" s="1"/>
  <c r="B52"/>
  <c r="B35"/>
  <c r="H9" i="2" l="1"/>
  <c r="F9"/>
  <c r="I8"/>
  <c r="B37" i="4"/>
  <c r="P58" i="6"/>
  <c r="O60"/>
  <c r="P60" s="1"/>
  <c r="I67"/>
  <c r="D13" i="4"/>
  <c r="C23"/>
  <c r="P19" i="6"/>
  <c r="D17" i="4"/>
  <c r="B38" s="1"/>
  <c r="C44"/>
  <c r="I9" i="2" l="1"/>
  <c r="F10"/>
  <c r="H10"/>
  <c r="E38" i="4"/>
  <c r="D42"/>
  <c r="D43"/>
  <c r="E43" s="1"/>
  <c r="O67" i="6"/>
  <c r="D18" i="4"/>
  <c r="E37"/>
  <c r="E39" s="1"/>
  <c r="B39"/>
  <c r="C37" s="1"/>
  <c r="P67" i="6"/>
  <c r="H14" i="1" l="1"/>
  <c r="H34" s="1"/>
  <c r="H35" s="1"/>
  <c r="I10" i="2"/>
  <c r="F11"/>
  <c r="H11"/>
  <c r="C38" i="4"/>
  <c r="C39" s="1"/>
  <c r="E42"/>
  <c r="E44" s="1"/>
  <c r="D44"/>
  <c r="I11" i="2" l="1"/>
  <c r="H37" i="1"/>
  <c r="H12" i="2"/>
  <c r="F12"/>
  <c r="H13" l="1"/>
  <c r="I12"/>
  <c r="F13"/>
  <c r="I13" l="1"/>
  <c r="F14"/>
  <c r="H14"/>
  <c r="F15" l="1"/>
  <c r="I14"/>
  <c r="H15"/>
  <c r="F16" l="1"/>
  <c r="H16"/>
  <c r="I15"/>
  <c r="F17" l="1"/>
  <c r="H17"/>
  <c r="I16"/>
  <c r="F18" l="1"/>
  <c r="H18"/>
  <c r="I17"/>
  <c r="F19" l="1"/>
  <c r="H19"/>
  <c r="I18"/>
  <c r="F20" l="1"/>
  <c r="I19"/>
  <c r="H20"/>
  <c r="I20" l="1"/>
  <c r="H21"/>
  <c r="F21"/>
  <c r="F22" l="1"/>
  <c r="I21"/>
  <c r="H22"/>
  <c r="I22" l="1"/>
  <c r="H23"/>
  <c r="F23"/>
  <c r="H24" l="1"/>
  <c r="I23"/>
  <c r="F24"/>
  <c r="H25" l="1"/>
  <c r="F25"/>
  <c r="I24"/>
  <c r="H26" l="1"/>
  <c r="F26"/>
  <c r="I25"/>
  <c r="H27" l="1"/>
  <c r="I26"/>
  <c r="F27"/>
  <c r="I27" l="1"/>
  <c r="F28"/>
  <c r="H28"/>
  <c r="F29" l="1"/>
  <c r="H29"/>
  <c r="I28"/>
  <c r="I29" l="1"/>
  <c r="F30"/>
  <c r="H30"/>
  <c r="H31" l="1"/>
  <c r="F31"/>
  <c r="I30"/>
  <c r="I31" l="1"/>
</calcChain>
</file>

<file path=xl/sharedStrings.xml><?xml version="1.0" encoding="utf-8"?>
<sst xmlns="http://schemas.openxmlformats.org/spreadsheetml/2006/main" count="1828" uniqueCount="945">
  <si>
    <t>Total for the Test Year</t>
  </si>
  <si>
    <t>Total Three Years</t>
  </si>
  <si>
    <t>Three Year Ave.</t>
  </si>
  <si>
    <t xml:space="preserve">      DOC # UE-071024)</t>
  </si>
  <si>
    <t>TEST YEAR TWELVE MONTHS ENDED December 31, 2008</t>
  </si>
  <si>
    <t>2008 GENERAL RATE CASE</t>
  </si>
  <si>
    <t>O&amp;M</t>
  </si>
  <si>
    <t>Cost of Wire Zone Vegetation Management Programs</t>
  </si>
  <si>
    <t/>
  </si>
  <si>
    <t xml:space="preserve">Amount </t>
  </si>
  <si>
    <t>Period</t>
  </si>
  <si>
    <t xml:space="preserve">FERC 407.3   </t>
  </si>
  <si>
    <t>Balance @ 09/10/2007</t>
  </si>
  <si>
    <t>LINK TO COST OF CAPITAL IN THE MODEL 17.1 TO FIX</t>
  </si>
  <si>
    <t>interest only (Carrying cost)</t>
  </si>
  <si>
    <t>Total</t>
  </si>
  <si>
    <t>PUGET SOUND ENERGY</t>
  </si>
  <si>
    <t>LINE</t>
  </si>
  <si>
    <t>NO.</t>
  </si>
  <si>
    <t>DESCRIPTION</t>
  </si>
  <si>
    <t>Year</t>
  </si>
  <si>
    <t>Amount</t>
  </si>
  <si>
    <t>GENERAL RATE CASE</t>
  </si>
  <si>
    <t>MISCELLANEOUS OPERATING EXPENSE ADJUSTMENTS</t>
  </si>
  <si>
    <t>CWIP IN SERVICE BUT NOT TRANSFERRED TO PLANT</t>
  </si>
  <si>
    <t>Month</t>
  </si>
  <si>
    <t>AMA</t>
  </si>
  <si>
    <t>(A)</t>
  </si>
  <si>
    <t>CED1</t>
  </si>
  <si>
    <t>CEG1</t>
  </si>
  <si>
    <t>CEN1</t>
  </si>
  <si>
    <t>CEN2</t>
  </si>
  <si>
    <t>CET1</t>
  </si>
  <si>
    <t>PSE</t>
  </si>
  <si>
    <t>Electric</t>
  </si>
  <si>
    <t>Gas</t>
  </si>
  <si>
    <t>Capital Electric - Trans &amp; HV Dist Impr</t>
  </si>
  <si>
    <t>Capital Electric - Generation</t>
  </si>
  <si>
    <t>Capital Electric - NCC Simple Service</t>
  </si>
  <si>
    <t>Capital Electric - NCC Complex Svc/Plat</t>
  </si>
  <si>
    <t>Capital Electric - Distribution Improvement</t>
  </si>
  <si>
    <t>Allocation of the deferred tax for the indirect cost adjustment</t>
  </si>
  <si>
    <t>For September 30, 2003</t>
  </si>
  <si>
    <t>ANALYSIS</t>
  </si>
  <si>
    <t>SAP balance at 9/30/03</t>
  </si>
  <si>
    <t xml:space="preserve">gross up </t>
  </si>
  <si>
    <t>Split SAP balance into 15 v. 20 year assets</t>
  </si>
  <si>
    <t>15 year</t>
  </si>
  <si>
    <t>20 year</t>
  </si>
  <si>
    <t>Split 15 year balance into Elec v. Gas</t>
  </si>
  <si>
    <t>Split 20 year balance into Elec v. Gas</t>
  </si>
  <si>
    <t>Split Elec 15 year balance into Prod v. Non-prod</t>
  </si>
  <si>
    <t>Production</t>
  </si>
  <si>
    <t>Non-production</t>
  </si>
  <si>
    <t>Split Elec 20 year balance into Prod v. Non-prod</t>
  </si>
  <si>
    <t>RESULTS</t>
  </si>
  <si>
    <t>Total Elec v. Gas</t>
  </si>
  <si>
    <t>Tax effected</t>
  </si>
  <si>
    <t>Total Elec Prod v. Non-prod</t>
  </si>
  <si>
    <t xml:space="preserve">Monthly </t>
  </si>
  <si>
    <t>Rate</t>
  </si>
  <si>
    <t>Capital Deferral</t>
  </si>
  <si>
    <t>AMORT</t>
  </si>
  <si>
    <t>CARRYING COST</t>
  </si>
  <si>
    <t>DEFERRED BALANCE</t>
  </si>
  <si>
    <t>After Tax</t>
  </si>
  <si>
    <t>ROR</t>
  </si>
  <si>
    <t>Normalize over 2 years</t>
  </si>
  <si>
    <t>Rate Year Amortization</t>
  </si>
  <si>
    <t>Total Expense</t>
  </si>
  <si>
    <t>Total Carrying Cost</t>
  </si>
  <si>
    <t>OPERATING EXPENSES</t>
  </si>
  <si>
    <t>Electric Order Types - PLANT</t>
  </si>
  <si>
    <t>CED1-DEP EXP</t>
  </si>
  <si>
    <t>CED1-ACC DEP</t>
  </si>
  <si>
    <t>CEG1-DEP EXP</t>
  </si>
  <si>
    <t>CEG1- ACC DEP</t>
  </si>
  <si>
    <t>CEN1-DEP EXP</t>
  </si>
  <si>
    <t>CEN1-ACC DEP</t>
  </si>
  <si>
    <t>CEN2-DEP EXP</t>
  </si>
  <si>
    <t>CEN2-ACC DEP</t>
  </si>
  <si>
    <t>CET1-DEP EXP</t>
  </si>
  <si>
    <t>CET1-ACC DEP</t>
  </si>
  <si>
    <t>PLANT</t>
  </si>
  <si>
    <t>DEP EXP</t>
  </si>
  <si>
    <t>ACC DEP</t>
  </si>
  <si>
    <t>Electric Plant</t>
  </si>
  <si>
    <t>Comon Plant</t>
  </si>
  <si>
    <t>RATE</t>
  </si>
  <si>
    <t>SUM</t>
  </si>
  <si>
    <t>For the 12 Months Ended September 30, 2007</t>
  </si>
  <si>
    <t xml:space="preserve"> </t>
  </si>
  <si>
    <t>RATE YEAR TWELVE MONTHS ENDED February 2011</t>
  </si>
  <si>
    <t>Test Year</t>
  </si>
  <si>
    <t>Rate Year</t>
  </si>
  <si>
    <t>Bental Rent Analysis</t>
  </si>
  <si>
    <t>PSE/Building B</t>
  </si>
  <si>
    <t>115,671 sf</t>
  </si>
  <si>
    <t>06/17/02-7/31/2018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</si>
  <si>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</si>
  <si>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</si>
  <si>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</si>
  <si>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</si>
  <si>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</si>
  <si>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</si>
  <si>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</si>
  <si>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</si>
  <si>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</si>
  <si>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</si>
  <si>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</si>
  <si>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</si>
  <si>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Base Rent - 4th Floor Expansion Rent - 23,293 - Effective August 1, 2008</t>
  </si>
  <si>
    <t>4th Floor Expansion - Operating Expenses</t>
  </si>
  <si>
    <t xml:space="preserve">Jan </t>
  </si>
  <si>
    <t>Parking</t>
  </si>
  <si>
    <t>USF</t>
  </si>
  <si>
    <t>360 sps - added sales taxes</t>
  </si>
  <si>
    <t>Expansion:</t>
  </si>
  <si>
    <t>62 parking spaces - added sales taxes</t>
  </si>
  <si>
    <t>TI Amortization</t>
  </si>
  <si>
    <t>115 months - $1,129,710.50</t>
  </si>
  <si>
    <t>Additional TI Concession</t>
  </si>
  <si>
    <t>115 months - $867,532.50</t>
  </si>
  <si>
    <t>Remaining TI Allowance - Rent Concession Payment</t>
  </si>
  <si>
    <t>Locating Services</t>
  </si>
  <si>
    <t>Cleared/open items symbol</t>
  </si>
  <si>
    <t>Reference</t>
  </si>
  <si>
    <t>Document Number</t>
  </si>
  <si>
    <t>Pmt meth. supplement</t>
  </si>
  <si>
    <t>Payment Block</t>
  </si>
  <si>
    <t>Document Type</t>
  </si>
  <si>
    <t>Document Date</t>
  </si>
  <si>
    <t>Posting Date</t>
  </si>
  <si>
    <t>Net due date symbol</t>
  </si>
  <si>
    <t>Amount in doc. curr.</t>
  </si>
  <si>
    <t>Clearing Document</t>
  </si>
  <si>
    <t>Branch account</t>
  </si>
  <si>
    <t>Text</t>
  </si>
  <si>
    <t>2000002667</t>
  </si>
  <si>
    <t>ZP</t>
  </si>
  <si>
    <t>2000013879</t>
  </si>
  <si>
    <t>2000025855</t>
  </si>
  <si>
    <t>2000036991</t>
  </si>
  <si>
    <t>2000046058</t>
  </si>
  <si>
    <t>2000061003</t>
  </si>
  <si>
    <t>2000072177</t>
  </si>
  <si>
    <t>2000087115</t>
  </si>
  <si>
    <t>2000096485</t>
  </si>
  <si>
    <t>2000111321</t>
  </si>
  <si>
    <t>2000127393</t>
  </si>
  <si>
    <t>2000138017</t>
  </si>
  <si>
    <t>Percent to O&amp;M</t>
  </si>
  <si>
    <t>Percent Breakdown</t>
  </si>
  <si>
    <t>Transmission</t>
  </si>
  <si>
    <t>MISCELLANEOUS OPERATING EXPENSE ADJUSTMENTS  -- Electric</t>
  </si>
  <si>
    <t>SenderCC</t>
  </si>
  <si>
    <t>Name</t>
  </si>
  <si>
    <t>Cost Center Manager</t>
  </si>
  <si>
    <t>FixedReceiver</t>
  </si>
  <si>
    <t>%</t>
  </si>
  <si>
    <t>0190</t>
  </si>
  <si>
    <t>Puget Western Inc.</t>
  </si>
  <si>
    <t>G.Erikson</t>
  </si>
  <si>
    <t>18600304</t>
  </si>
  <si>
    <t>0210</t>
  </si>
  <si>
    <t>HEDC</t>
  </si>
  <si>
    <t>Swofford</t>
  </si>
  <si>
    <t>18600101</t>
  </si>
  <si>
    <t>1010</t>
  </si>
  <si>
    <t>President &amp; CEO</t>
  </si>
  <si>
    <t>S. Reynolds</t>
  </si>
  <si>
    <t>92006005</t>
  </si>
  <si>
    <t>1040</t>
  </si>
  <si>
    <t>Exec VP Fin &amp; CFO</t>
  </si>
  <si>
    <t>Eric Markell</t>
  </si>
  <si>
    <t>92006020</t>
  </si>
  <si>
    <t>1050</t>
  </si>
  <si>
    <t>Exec VP &amp; COO</t>
  </si>
  <si>
    <t>Valdman</t>
  </si>
  <si>
    <t>92006022</t>
  </si>
  <si>
    <t>1080</t>
  </si>
  <si>
    <t>Sr VP &amp; CIO / Wolf</t>
  </si>
  <si>
    <t>Rudiger Wolf</t>
  </si>
  <si>
    <t>92006402</t>
  </si>
  <si>
    <t>1105</t>
  </si>
  <si>
    <t>Treasurer</t>
  </si>
  <si>
    <t>D. Gaines</t>
  </si>
  <si>
    <t>92006330</t>
  </si>
  <si>
    <t>1110</t>
  </si>
  <si>
    <t>Treasury</t>
  </si>
  <si>
    <t>J. Sant</t>
  </si>
  <si>
    <t>92006335</t>
  </si>
  <si>
    <t>1115</t>
  </si>
  <si>
    <t>Risk Management</t>
  </si>
  <si>
    <t>Main</t>
  </si>
  <si>
    <t>92006075</t>
  </si>
  <si>
    <t>92400006</t>
  </si>
  <si>
    <t>92400306</t>
  </si>
  <si>
    <t>92400605</t>
  </si>
  <si>
    <t>92500001</t>
  </si>
  <si>
    <t>92500300</t>
  </si>
  <si>
    <t>92500602</t>
  </si>
  <si>
    <t>92500607</t>
  </si>
  <si>
    <t>1120</t>
  </si>
  <si>
    <t>Investor Relations</t>
  </si>
  <si>
    <t>D.Doraisamy</t>
  </si>
  <si>
    <t>92006340</t>
  </si>
  <si>
    <t>1122</t>
  </si>
  <si>
    <t>Energy Credit</t>
  </si>
  <si>
    <t>C.Janak</t>
  </si>
  <si>
    <t>55700310</t>
  </si>
  <si>
    <t>92003332</t>
  </si>
  <si>
    <t>1125</t>
  </si>
  <si>
    <t>Fin Plan Anlys/Rice</t>
  </si>
  <si>
    <t>L. Rice</t>
  </si>
  <si>
    <t>19911125</t>
  </si>
  <si>
    <t>92006345</t>
  </si>
  <si>
    <t>1140</t>
  </si>
  <si>
    <t>Controller</t>
  </si>
  <si>
    <t>Eldredge</t>
  </si>
  <si>
    <t>92006350</t>
  </si>
  <si>
    <t>1143</t>
  </si>
  <si>
    <t>Assistant Controller</t>
  </si>
  <si>
    <t>Stranik</t>
  </si>
  <si>
    <t>92006353</t>
  </si>
  <si>
    <t>1144</t>
  </si>
  <si>
    <t>Derivative Accountng</t>
  </si>
  <si>
    <t>Jan Ripplinger</t>
  </si>
  <si>
    <t>92006024</t>
  </si>
  <si>
    <t>1145</t>
  </si>
  <si>
    <t>Gen Accounting</t>
  </si>
  <si>
    <t>D. Cheung</t>
  </si>
  <si>
    <t>19911145</t>
  </si>
  <si>
    <t>92006355</t>
  </si>
  <si>
    <t>1148</t>
  </si>
  <si>
    <t>Energy Accounting</t>
  </si>
  <si>
    <t>Connie Mander</t>
  </si>
  <si>
    <t>55700305</t>
  </si>
  <si>
    <t>92000565</t>
  </si>
  <si>
    <t>92003565</t>
  </si>
  <si>
    <t>1150</t>
  </si>
  <si>
    <t>Property Accounting</t>
  </si>
  <si>
    <t>V. Fong</t>
  </si>
  <si>
    <t>19911150</t>
  </si>
  <si>
    <t>1155</t>
  </si>
  <si>
    <t>Financial Reporting</t>
  </si>
  <si>
    <t>N.Hayashi</t>
  </si>
  <si>
    <t>92006365</t>
  </si>
  <si>
    <t>1165</t>
  </si>
  <si>
    <t>A/P</t>
  </si>
  <si>
    <t>D.Farrall</t>
  </si>
  <si>
    <t>19900003</t>
  </si>
  <si>
    <t>19900300</t>
  </si>
  <si>
    <t>19911165</t>
  </si>
  <si>
    <t>92006375</t>
  </si>
  <si>
    <t>1175</t>
  </si>
  <si>
    <t>Corporate Plane</t>
  </si>
  <si>
    <t>Crawford</t>
  </si>
  <si>
    <t>92006385</t>
  </si>
  <si>
    <t>1180</t>
  </si>
  <si>
    <t>Tax</t>
  </si>
  <si>
    <t>Marcelia</t>
  </si>
  <si>
    <t>92006390</t>
  </si>
  <si>
    <t>1190</t>
  </si>
  <si>
    <t>Internal Audit</t>
  </si>
  <si>
    <t>W.Gould</t>
  </si>
  <si>
    <t>92006395</t>
  </si>
  <si>
    <t>1200</t>
  </si>
  <si>
    <t>Information Tech.</t>
  </si>
  <si>
    <t>Collins</t>
  </si>
  <si>
    <t>19911200</t>
  </si>
  <si>
    <t>92006400</t>
  </si>
  <si>
    <t>1205</t>
  </si>
  <si>
    <t>Data &amp; Applications</t>
  </si>
  <si>
    <t>Deitz</t>
  </si>
  <si>
    <t>19911205</t>
  </si>
  <si>
    <t>92006405</t>
  </si>
  <si>
    <t>1207</t>
  </si>
  <si>
    <t>Cust Sys / Bisschoff</t>
  </si>
  <si>
    <t>Bisschoff</t>
  </si>
  <si>
    <t>19911207</t>
  </si>
  <si>
    <t>92006407</t>
  </si>
  <si>
    <t>1208</t>
  </si>
  <si>
    <t>Info/Privacy/IT Secu</t>
  </si>
  <si>
    <t>B. Padagas</t>
  </si>
  <si>
    <t>19911208</t>
  </si>
  <si>
    <t>92006408</t>
  </si>
  <si>
    <t>1210</t>
  </si>
  <si>
    <t>Network &amp; Desktop</t>
  </si>
  <si>
    <t>Agler</t>
  </si>
  <si>
    <t>19911210</t>
  </si>
  <si>
    <t>92006410</t>
  </si>
  <si>
    <t>1212</t>
  </si>
  <si>
    <t>Energy Info Infrastr</t>
  </si>
  <si>
    <t>McClaine</t>
  </si>
  <si>
    <t>19911212</t>
  </si>
  <si>
    <t>92006412</t>
  </si>
  <si>
    <t>1215</t>
  </si>
  <si>
    <t>Telecom Services</t>
  </si>
  <si>
    <t>Seese</t>
  </si>
  <si>
    <t>19911215</t>
  </si>
  <si>
    <t>92006415</t>
  </si>
  <si>
    <t>1217</t>
  </si>
  <si>
    <t>Energy Control Syst</t>
  </si>
  <si>
    <t>53501003</t>
  </si>
  <si>
    <t>56000032</t>
  </si>
  <si>
    <t>58000022</t>
  </si>
  <si>
    <t>1220</t>
  </si>
  <si>
    <t>SAP Support</t>
  </si>
  <si>
    <t>Pielemeier</t>
  </si>
  <si>
    <t>19911220</t>
  </si>
  <si>
    <t>92006420</t>
  </si>
  <si>
    <t>1250</t>
  </si>
  <si>
    <t>Corporate Facilities</t>
  </si>
  <si>
    <t>McNulty</t>
  </si>
  <si>
    <t>19911250</t>
  </si>
  <si>
    <t>92006430</t>
  </si>
  <si>
    <t>1260</t>
  </si>
  <si>
    <t>Security</t>
  </si>
  <si>
    <t>A.Francis</t>
  </si>
  <si>
    <t>92400620</t>
  </si>
  <si>
    <t>1270</t>
  </si>
  <si>
    <t>Mail Services</t>
  </si>
  <si>
    <t>Larry Hurwitz</t>
  </si>
  <si>
    <t>92007030</t>
  </si>
  <si>
    <t>1300</t>
  </si>
  <si>
    <t>Reg &amp; Plan/Karzmar</t>
  </si>
  <si>
    <t>Karzmar</t>
  </si>
  <si>
    <t>92006025</t>
  </si>
  <si>
    <t>1310</t>
  </si>
  <si>
    <t>St Reg CSvc/DeBoer</t>
  </si>
  <si>
    <t>DeBoer</t>
  </si>
  <si>
    <t>92006030</t>
  </si>
  <si>
    <t>1320</t>
  </si>
  <si>
    <t>St Reg Rev Req/Story</t>
  </si>
  <si>
    <t>Story</t>
  </si>
  <si>
    <t>92006035</t>
  </si>
  <si>
    <t>1350</t>
  </si>
  <si>
    <t>Reg Plan/Karzmar</t>
  </si>
  <si>
    <t>92006050</t>
  </si>
  <si>
    <t>1400</t>
  </si>
  <si>
    <t>Corporate Affairs</t>
  </si>
  <si>
    <t>Bussey</t>
  </si>
  <si>
    <t>42640051</t>
  </si>
  <si>
    <t>92006270</t>
  </si>
  <si>
    <t>1401</t>
  </si>
  <si>
    <t>Community Services</t>
  </si>
  <si>
    <t>Oxley</t>
  </si>
  <si>
    <t>19911401</t>
  </si>
  <si>
    <t>42640104</t>
  </si>
  <si>
    <t>59000007</t>
  </si>
  <si>
    <t>91200007</t>
  </si>
  <si>
    <t>92007515</t>
  </si>
  <si>
    <t>1402</t>
  </si>
  <si>
    <t>Communi Relation Mgr</t>
  </si>
  <si>
    <t>19911402</t>
  </si>
  <si>
    <t>42640101</t>
  </si>
  <si>
    <t>92007521</t>
  </si>
  <si>
    <t>1403</t>
  </si>
  <si>
    <t>Muni Liaison Mgr</t>
  </si>
  <si>
    <t>19911403</t>
  </si>
  <si>
    <t>58800055</t>
  </si>
  <si>
    <t>88700025</t>
  </si>
  <si>
    <t>1404</t>
  </si>
  <si>
    <t>Muni Const / Oxley</t>
  </si>
  <si>
    <t>19911404</t>
  </si>
  <si>
    <t>58800050</t>
  </si>
  <si>
    <t>88700010</t>
  </si>
  <si>
    <t>1405</t>
  </si>
  <si>
    <t>Human Resources</t>
  </si>
  <si>
    <t>M. Mellies</t>
  </si>
  <si>
    <t>92006275</t>
  </si>
  <si>
    <t>1406</t>
  </si>
  <si>
    <t>Customer Service EE</t>
  </si>
  <si>
    <t>90307085</t>
  </si>
  <si>
    <t>1407</t>
  </si>
  <si>
    <t>Organizational Effec</t>
  </si>
  <si>
    <t>Sisson</t>
  </si>
  <si>
    <t>92006280</t>
  </si>
  <si>
    <t>1410</t>
  </si>
  <si>
    <t>Compensation/Hunt</t>
  </si>
  <si>
    <t>Hunt</t>
  </si>
  <si>
    <t>19911410</t>
  </si>
  <si>
    <t>92006285</t>
  </si>
  <si>
    <t>1412</t>
  </si>
  <si>
    <t>Benefits</t>
  </si>
  <si>
    <t>T. Hunt</t>
  </si>
  <si>
    <t>19900100</t>
  </si>
  <si>
    <t>1414</t>
  </si>
  <si>
    <t>Payroll / D. Cheung</t>
  </si>
  <si>
    <t>19911414</t>
  </si>
  <si>
    <t>92006287</t>
  </si>
  <si>
    <t>1416</t>
  </si>
  <si>
    <t>Human Capital Svcs</t>
  </si>
  <si>
    <t>Marla Mellies</t>
  </si>
  <si>
    <t>19911416</t>
  </si>
  <si>
    <t>92007200</t>
  </si>
  <si>
    <t>1418</t>
  </si>
  <si>
    <t>Staff&amp;Diver/Lorelee</t>
  </si>
  <si>
    <t>B. Lorelee</t>
  </si>
  <si>
    <t>19911418</t>
  </si>
  <si>
    <t>92006298</t>
  </si>
  <si>
    <t>1440</t>
  </si>
  <si>
    <t>Labor Relat/Revo</t>
  </si>
  <si>
    <t>Revo</t>
  </si>
  <si>
    <t>19911440</t>
  </si>
  <si>
    <t>92006300</t>
  </si>
  <si>
    <t>1445</t>
  </si>
  <si>
    <t>Corp Communications</t>
  </si>
  <si>
    <t>Martha Monfried</t>
  </si>
  <si>
    <t>90900700</t>
  </si>
  <si>
    <t>92007500</t>
  </si>
  <si>
    <t>93020900</t>
  </si>
  <si>
    <t>1447</t>
  </si>
  <si>
    <t>Corp Comm Investment</t>
  </si>
  <si>
    <t>42640525</t>
  </si>
  <si>
    <t>1450</t>
  </si>
  <si>
    <t>Govt &amp; Com Relations</t>
  </si>
  <si>
    <t>Hempstead</t>
  </si>
  <si>
    <t>19911450</t>
  </si>
  <si>
    <t>42640050</t>
  </si>
  <si>
    <t>92006310</t>
  </si>
  <si>
    <t>1452</t>
  </si>
  <si>
    <t>Federal Govt Relat</t>
  </si>
  <si>
    <t>Odell</t>
  </si>
  <si>
    <t>42640029</t>
  </si>
  <si>
    <t>92007509</t>
  </si>
  <si>
    <t>1453</t>
  </si>
  <si>
    <t>State Govt Relat</t>
  </si>
  <si>
    <t>Ken Johnson</t>
  </si>
  <si>
    <t>42640042</t>
  </si>
  <si>
    <t>92006315</t>
  </si>
  <si>
    <t>1500</t>
  </si>
  <si>
    <t>Power Generation</t>
  </si>
  <si>
    <t>Wiegand</t>
  </si>
  <si>
    <t>92006063</t>
  </si>
  <si>
    <t>1502</t>
  </si>
  <si>
    <t>Asset Services</t>
  </si>
  <si>
    <t>D.Loreen</t>
  </si>
  <si>
    <t>92000105</t>
  </si>
  <si>
    <t>1506</t>
  </si>
  <si>
    <t>Thermal and Wind Res</t>
  </si>
  <si>
    <t>Ed Odom</t>
  </si>
  <si>
    <t>92000255</t>
  </si>
  <si>
    <t>1800</t>
  </si>
  <si>
    <t>Exec VP &amp; CRO</t>
  </si>
  <si>
    <t>Kimberly Harris</t>
  </si>
  <si>
    <t>92007450</t>
  </si>
  <si>
    <t>1802</t>
  </si>
  <si>
    <t>Resource Strategies</t>
  </si>
  <si>
    <t>W. Robinett</t>
  </si>
  <si>
    <t>92000922</t>
  </si>
  <si>
    <t>1810</t>
  </si>
  <si>
    <t>Resour Plan &amp; Analy</t>
  </si>
  <si>
    <t>Popoff</t>
  </si>
  <si>
    <t>55700100</t>
  </si>
  <si>
    <t>92000923</t>
  </si>
  <si>
    <t>92003653</t>
  </si>
  <si>
    <t>92007453</t>
  </si>
  <si>
    <t>1820</t>
  </si>
  <si>
    <t>Natural Gas Resource</t>
  </si>
  <si>
    <t>Clay Riding</t>
  </si>
  <si>
    <t>92000928</t>
  </si>
  <si>
    <t>92003658</t>
  </si>
  <si>
    <t>92007460</t>
  </si>
  <si>
    <t>1900</t>
  </si>
  <si>
    <t>Legal Dept /O'Connor</t>
  </si>
  <si>
    <t>Jennifer O'Connor</t>
  </si>
  <si>
    <t>92000925</t>
  </si>
  <si>
    <t>92003655</t>
  </si>
  <si>
    <t>92007455</t>
  </si>
  <si>
    <t>3000</t>
  </si>
  <si>
    <t>BLOCKED Sr Vp-Chief</t>
  </si>
  <si>
    <t>VACANT</t>
  </si>
  <si>
    <t>92006065</t>
  </si>
  <si>
    <t>3001</t>
  </si>
  <si>
    <t>Sr Adv to Chairman</t>
  </si>
  <si>
    <t>Henry</t>
  </si>
  <si>
    <t>92006092</t>
  </si>
  <si>
    <t>3003</t>
  </si>
  <si>
    <t>Dir Cust Care (CAC)</t>
  </si>
  <si>
    <t>Agnes Barard</t>
  </si>
  <si>
    <t>92006095</t>
  </si>
  <si>
    <t>3005</t>
  </si>
  <si>
    <t>Asst to COO</t>
  </si>
  <si>
    <t>Vacant</t>
  </si>
  <si>
    <t>92006064</t>
  </si>
  <si>
    <t>3007</t>
  </si>
  <si>
    <t>BLOCKED Dir-Spe Proj</t>
  </si>
  <si>
    <t>92000900</t>
  </si>
  <si>
    <t>3009</t>
  </si>
  <si>
    <t>Revenue Mgmt</t>
  </si>
  <si>
    <t>90100613</t>
  </si>
  <si>
    <t>3010</t>
  </si>
  <si>
    <t>Cust Svcs/ S. Hammon</t>
  </si>
  <si>
    <t>Stacey Hammond</t>
  </si>
  <si>
    <t>90307011</t>
  </si>
  <si>
    <t>3011</t>
  </si>
  <si>
    <t>Corp Credit / Yocum</t>
  </si>
  <si>
    <t>Tom Yocum</t>
  </si>
  <si>
    <t>90307009</t>
  </si>
  <si>
    <t>3012</t>
  </si>
  <si>
    <t>Payment Processing</t>
  </si>
  <si>
    <t>Donald Pratt</t>
  </si>
  <si>
    <t>90307070</t>
  </si>
  <si>
    <t>3013</t>
  </si>
  <si>
    <t>Cust Svc Infrastruct</t>
  </si>
  <si>
    <t>Deluhery</t>
  </si>
  <si>
    <t>92006097</t>
  </si>
  <si>
    <t>3015</t>
  </si>
  <si>
    <t>EES Lease Services</t>
  </si>
  <si>
    <t>J. Gaines</t>
  </si>
  <si>
    <t>130000181</t>
  </si>
  <si>
    <t>130000182</t>
  </si>
  <si>
    <t>90800630</t>
  </si>
  <si>
    <t>3023</t>
  </si>
  <si>
    <t>Dir. - Customer Care</t>
  </si>
  <si>
    <t>19913080</t>
  </si>
  <si>
    <t>58600018</t>
  </si>
  <si>
    <t>87800020</t>
  </si>
  <si>
    <t>90307035</t>
  </si>
  <si>
    <t>92006110</t>
  </si>
  <si>
    <t>3025</t>
  </si>
  <si>
    <t>Cust Svc Transition</t>
  </si>
  <si>
    <t>92006086</t>
  </si>
  <si>
    <t>3030</t>
  </si>
  <si>
    <t>Continuity Planning</t>
  </si>
  <si>
    <t>M.Robinson</t>
  </si>
  <si>
    <t>19913030</t>
  </si>
  <si>
    <t>92000085</t>
  </si>
  <si>
    <t>3035</t>
  </si>
  <si>
    <t>Gas Control</t>
  </si>
  <si>
    <t>Wallace</t>
  </si>
  <si>
    <t>80740002</t>
  </si>
  <si>
    <t>87100004</t>
  </si>
  <si>
    <t>90204550</t>
  </si>
  <si>
    <t>3038</t>
  </si>
  <si>
    <t>Gas Oper Training</t>
  </si>
  <si>
    <t>19913038</t>
  </si>
  <si>
    <t>41600300</t>
  </si>
  <si>
    <t>88000025</t>
  </si>
  <si>
    <t>3039</t>
  </si>
  <si>
    <t>Gas Ops Quality Cont</t>
  </si>
  <si>
    <t>87400015</t>
  </si>
  <si>
    <t>87500015</t>
  </si>
  <si>
    <t>87600015</t>
  </si>
  <si>
    <t>87800025</t>
  </si>
  <si>
    <t>88700015</t>
  </si>
  <si>
    <t>88900015</t>
  </si>
  <si>
    <t>89000015</t>
  </si>
  <si>
    <t>89200015</t>
  </si>
  <si>
    <t>89300015</t>
  </si>
  <si>
    <t>89400005</t>
  </si>
  <si>
    <t>3040</t>
  </si>
  <si>
    <t>Gas Dispatch</t>
  </si>
  <si>
    <t>19913040</t>
  </si>
  <si>
    <t>41600065</t>
  </si>
  <si>
    <t>87800002</t>
  </si>
  <si>
    <t>87900002</t>
  </si>
  <si>
    <t>90303330</t>
  </si>
  <si>
    <t>3045</t>
  </si>
  <si>
    <t>Energy Measurement</t>
  </si>
  <si>
    <t>41600060</t>
  </si>
  <si>
    <t>87500002</t>
  </si>
  <si>
    <t>87800003</t>
  </si>
  <si>
    <t>87900003</t>
  </si>
  <si>
    <t>90204555</t>
  </si>
  <si>
    <t>3050</t>
  </si>
  <si>
    <t>Load Office</t>
  </si>
  <si>
    <t>M. Tongue</t>
  </si>
  <si>
    <t>55600054</t>
  </si>
  <si>
    <t>56120015</t>
  </si>
  <si>
    <t>56130015</t>
  </si>
  <si>
    <t>58100100</t>
  </si>
  <si>
    <t>92007100</t>
  </si>
  <si>
    <t>3060</t>
  </si>
  <si>
    <t>System Operators</t>
  </si>
  <si>
    <t>Turushia Thomas</t>
  </si>
  <si>
    <t>19913060</t>
  </si>
  <si>
    <t>58100005</t>
  </si>
  <si>
    <t>3065</t>
  </si>
  <si>
    <t>System Managers</t>
  </si>
  <si>
    <t>19913065</t>
  </si>
  <si>
    <t>55600058</t>
  </si>
  <si>
    <t>58100010</t>
  </si>
  <si>
    <t>89200020</t>
  </si>
  <si>
    <t>3070</t>
  </si>
  <si>
    <t>Saf &amp; Qual Assurance</t>
  </si>
  <si>
    <t>Robert Keys</t>
  </si>
  <si>
    <t>19913070</t>
  </si>
  <si>
    <t>92500606</t>
  </si>
  <si>
    <t>3073</t>
  </si>
  <si>
    <t>Dir Ops Services</t>
  </si>
  <si>
    <t>Duane  Henderson</t>
  </si>
  <si>
    <t>19913073</t>
  </si>
  <si>
    <t>58000081</t>
  </si>
  <si>
    <t>87000061</t>
  </si>
  <si>
    <t>92500705</t>
  </si>
  <si>
    <t>3075</t>
  </si>
  <si>
    <t>Budgeting</t>
  </si>
  <si>
    <t>J.Leong</t>
  </si>
  <si>
    <t>19913075</t>
  </si>
  <si>
    <t>56000001</t>
  </si>
  <si>
    <t>58000004</t>
  </si>
  <si>
    <t>87000005</t>
  </si>
  <si>
    <t>92006214</t>
  </si>
  <si>
    <t>3087</t>
  </si>
  <si>
    <t>Comp/RegAud/Ferchert</t>
  </si>
  <si>
    <t>h. Ferchert</t>
  </si>
  <si>
    <t>19913087</t>
  </si>
  <si>
    <t>87000035</t>
  </si>
  <si>
    <t>3088</t>
  </si>
  <si>
    <t>Dir Comp&amp;Sfty/ Hobbs</t>
  </si>
  <si>
    <t>M.Hobbs</t>
  </si>
  <si>
    <t>19913088</t>
  </si>
  <si>
    <t>92007046</t>
  </si>
  <si>
    <t>3089</t>
  </si>
  <si>
    <t>Comp/Reg Aud/ C Koch</t>
  </si>
  <si>
    <t>C.Koch</t>
  </si>
  <si>
    <t>19913089</t>
  </si>
  <si>
    <t>56000065</t>
  </si>
  <si>
    <t>3091</t>
  </si>
  <si>
    <t>Ele 1st Response/Eng</t>
  </si>
  <si>
    <t>D. Brodie</t>
  </si>
  <si>
    <t>19913091</t>
  </si>
  <si>
    <t>583007284</t>
  </si>
  <si>
    <t>583007285</t>
  </si>
  <si>
    <t>584003378</t>
  </si>
  <si>
    <t>584003379</t>
  </si>
  <si>
    <t>587000728</t>
  </si>
  <si>
    <t>588000365</t>
  </si>
  <si>
    <t>593024832</t>
  </si>
  <si>
    <t>594015755</t>
  </si>
  <si>
    <t>3101</t>
  </si>
  <si>
    <t>Integrated Customer</t>
  </si>
  <si>
    <t>Don Pratt</t>
  </si>
  <si>
    <t>92007080</t>
  </si>
  <si>
    <t>3102</t>
  </si>
  <si>
    <t>E Products &amp; Svs</t>
  </si>
  <si>
    <t>Brady</t>
  </si>
  <si>
    <t>90800120</t>
  </si>
  <si>
    <t>3109</t>
  </si>
  <si>
    <t>Metering Network Svc</t>
  </si>
  <si>
    <t>Jerry McNeilly</t>
  </si>
  <si>
    <t>58600013</t>
  </si>
  <si>
    <t>87800119</t>
  </si>
  <si>
    <t>90206912</t>
  </si>
  <si>
    <t>90306085</t>
  </si>
  <si>
    <t>3180</t>
  </si>
  <si>
    <t>Rev Mangr / C Walker</t>
  </si>
  <si>
    <t>Claudina Walker</t>
  </si>
  <si>
    <t>90307010</t>
  </si>
  <si>
    <t>3540</t>
  </si>
  <si>
    <t>Major Accounts</t>
  </si>
  <si>
    <t>Pohndorf</t>
  </si>
  <si>
    <t>90301030</t>
  </si>
  <si>
    <t>90303340</t>
  </si>
  <si>
    <t>90307080</t>
  </si>
  <si>
    <t>3550</t>
  </si>
  <si>
    <t>Kittitas Programs</t>
  </si>
  <si>
    <t>92000880</t>
  </si>
  <si>
    <t>92003810</t>
  </si>
  <si>
    <t>3580</t>
  </si>
  <si>
    <t>Service Quality</t>
  </si>
  <si>
    <t>Ron Newman</t>
  </si>
  <si>
    <t>19913580</t>
  </si>
  <si>
    <t>92007300</t>
  </si>
  <si>
    <t>4007</t>
  </si>
  <si>
    <t>19914007</t>
  </si>
  <si>
    <t>42640130</t>
  </si>
  <si>
    <t>59000005</t>
  </si>
  <si>
    <t>92007508</t>
  </si>
  <si>
    <t>4009</t>
  </si>
  <si>
    <t>Municipal Liaison Mg</t>
  </si>
  <si>
    <t>19914009</t>
  </si>
  <si>
    <t>58800066</t>
  </si>
  <si>
    <t>88700030</t>
  </si>
  <si>
    <t>4014</t>
  </si>
  <si>
    <t>Contract Services</t>
  </si>
  <si>
    <t>C.Cox</t>
  </si>
  <si>
    <t>19914014</t>
  </si>
  <si>
    <t>58000070</t>
  </si>
  <si>
    <t>87000006</t>
  </si>
  <si>
    <t>4027</t>
  </si>
  <si>
    <t>Municipal Construct</t>
  </si>
  <si>
    <t>19914027</t>
  </si>
  <si>
    <t>58800052</t>
  </si>
  <si>
    <t>88700012</t>
  </si>
  <si>
    <t>4035</t>
  </si>
  <si>
    <t>Cust Svc EE North</t>
  </si>
  <si>
    <t>90307090</t>
  </si>
  <si>
    <t>4054</t>
  </si>
  <si>
    <t>Technical Field Serv</t>
  </si>
  <si>
    <t>J.Hogan</t>
  </si>
  <si>
    <t>19914583</t>
  </si>
  <si>
    <t>58000082</t>
  </si>
  <si>
    <t>4150</t>
  </si>
  <si>
    <t>MaintPrograms/S. Hop</t>
  </si>
  <si>
    <t>S. Hopkins</t>
  </si>
  <si>
    <t>856000076</t>
  </si>
  <si>
    <t>856000077</t>
  </si>
  <si>
    <t>874000137</t>
  </si>
  <si>
    <t>874000232</t>
  </si>
  <si>
    <t>874000233</t>
  </si>
  <si>
    <t>874000240</t>
  </si>
  <si>
    <t>874000493</t>
  </si>
  <si>
    <t>874001561</t>
  </si>
  <si>
    <t>887003380</t>
  </si>
  <si>
    <t>4200</t>
  </si>
  <si>
    <t>Sr VP Oper / McLain</t>
  </si>
  <si>
    <t>McLain</t>
  </si>
  <si>
    <t>92006210</t>
  </si>
  <si>
    <t>4201</t>
  </si>
  <si>
    <t>G.Marshall</t>
  </si>
  <si>
    <t>55600075</t>
  </si>
  <si>
    <t>56000067</t>
  </si>
  <si>
    <t>56100030</t>
  </si>
  <si>
    <t>56600007</t>
  </si>
  <si>
    <t>58100015</t>
  </si>
  <si>
    <t>92000212</t>
  </si>
  <si>
    <t>4205</t>
  </si>
  <si>
    <t>System Planning</t>
  </si>
  <si>
    <t>J.Tada</t>
  </si>
  <si>
    <t>19914205</t>
  </si>
  <si>
    <t>92006228</t>
  </si>
  <si>
    <t>4206</t>
  </si>
  <si>
    <t>Perform Measurement</t>
  </si>
  <si>
    <t>Brenda Bartell</t>
  </si>
  <si>
    <t>19914206</t>
  </si>
  <si>
    <t>56000071</t>
  </si>
  <si>
    <t>58000078</t>
  </si>
  <si>
    <t>87000020</t>
  </si>
  <si>
    <t>92007047</t>
  </si>
  <si>
    <t>4210</t>
  </si>
  <si>
    <t>Total Energy Sys Pla</t>
  </si>
  <si>
    <t>19914210</t>
  </si>
  <si>
    <t>58800003</t>
  </si>
  <si>
    <t>88700005</t>
  </si>
  <si>
    <t>4220</t>
  </si>
  <si>
    <t>Standards</t>
  </si>
  <si>
    <t>S.Patel</t>
  </si>
  <si>
    <t>19914220</t>
  </si>
  <si>
    <t>58000003</t>
  </si>
  <si>
    <t>87000003</t>
  </si>
  <si>
    <t>4230</t>
  </si>
  <si>
    <t>Map, Rec Del &amp; Tech</t>
  </si>
  <si>
    <t>Maass</t>
  </si>
  <si>
    <t>19914230</t>
  </si>
  <si>
    <t>58800016</t>
  </si>
  <si>
    <t>88000010</t>
  </si>
  <si>
    <t>4300</t>
  </si>
  <si>
    <t>Environmental Servcs</t>
  </si>
  <si>
    <t>Rork</t>
  </si>
  <si>
    <t>10800157</t>
  </si>
  <si>
    <t>92006215</t>
  </si>
  <si>
    <t>4310</t>
  </si>
  <si>
    <t>Transm Contracts</t>
  </si>
  <si>
    <t>56000033</t>
  </si>
  <si>
    <t>56110001</t>
  </si>
  <si>
    <t>56120001</t>
  </si>
  <si>
    <t>56600002</t>
  </si>
  <si>
    <t>56600003</t>
  </si>
  <si>
    <t>92000510</t>
  </si>
  <si>
    <t>92000511</t>
  </si>
  <si>
    <t>4410</t>
  </si>
  <si>
    <t>Builder Services</t>
  </si>
  <si>
    <t>19914410</t>
  </si>
  <si>
    <t>4415</t>
  </si>
  <si>
    <t>Business Acct Svc</t>
  </si>
  <si>
    <t>Mark Frederick</t>
  </si>
  <si>
    <t>90800031</t>
  </si>
  <si>
    <t>90800370</t>
  </si>
  <si>
    <t>90800635</t>
  </si>
  <si>
    <t>4465</t>
  </si>
  <si>
    <t>Low Income Program</t>
  </si>
  <si>
    <t>18233005</t>
  </si>
  <si>
    <t>4500</t>
  </si>
  <si>
    <t>Perf Excellence</t>
  </si>
  <si>
    <t>B. Gilbertson</t>
  </si>
  <si>
    <t>19914500</t>
  </si>
  <si>
    <t>92006465</t>
  </si>
  <si>
    <t>4505</t>
  </si>
  <si>
    <t>Purchasing Materials</t>
  </si>
  <si>
    <t>Funai</t>
  </si>
  <si>
    <t>19900006</t>
  </si>
  <si>
    <t>19914505</t>
  </si>
  <si>
    <t>92007507</t>
  </si>
  <si>
    <t>4520</t>
  </si>
  <si>
    <t>Corporate Fleet</t>
  </si>
  <si>
    <t>M.Richardson</t>
  </si>
  <si>
    <t>4522</t>
  </si>
  <si>
    <t>Corp Fleet Pool Cars</t>
  </si>
  <si>
    <t>19914522</t>
  </si>
  <si>
    <t>92006820</t>
  </si>
  <si>
    <t>4550</t>
  </si>
  <si>
    <t>Alternative Fuels</t>
  </si>
  <si>
    <t>Hopkins</t>
  </si>
  <si>
    <t>71700002</t>
  </si>
  <si>
    <t>84100001</t>
  </si>
  <si>
    <t>91200360</t>
  </si>
  <si>
    <t>93200362</t>
  </si>
  <si>
    <t>93200364</t>
  </si>
  <si>
    <t>4570</t>
  </si>
  <si>
    <t>Purchasing</t>
  </si>
  <si>
    <t>C.Nesland</t>
  </si>
  <si>
    <t>19900009</t>
  </si>
  <si>
    <t>19914570</t>
  </si>
  <si>
    <t>92000545</t>
  </si>
  <si>
    <t>92003455</t>
  </si>
  <si>
    <t>92006235</t>
  </si>
  <si>
    <t>4581</t>
  </si>
  <si>
    <t>EIT Program</t>
  </si>
  <si>
    <t>S. Bradshaw</t>
  </si>
  <si>
    <t>19914581</t>
  </si>
  <si>
    <t>54100005</t>
  </si>
  <si>
    <t>58000090</t>
  </si>
  <si>
    <t>58800060</t>
  </si>
  <si>
    <t>59000010</t>
  </si>
  <si>
    <t>87000070</t>
  </si>
  <si>
    <t>4582</t>
  </si>
  <si>
    <t>Proj Cntrl/T.Johnson</t>
  </si>
  <si>
    <t>Thomas Johnson</t>
  </si>
  <si>
    <t>19914582</t>
  </si>
  <si>
    <t>92007048</t>
  </si>
  <si>
    <t>4583</t>
  </si>
  <si>
    <t>Maintenance Planning</t>
  </si>
  <si>
    <t>87000062</t>
  </si>
  <si>
    <t>4610</t>
  </si>
  <si>
    <t>Budgets&amp;Perform Meas</t>
  </si>
  <si>
    <t>19914610</t>
  </si>
  <si>
    <t>92006463</t>
  </si>
  <si>
    <t>5011</t>
  </si>
  <si>
    <t>Energy Prod &amp;Storage</t>
  </si>
  <si>
    <t>Molander</t>
  </si>
  <si>
    <t>53501020</t>
  </si>
  <si>
    <t>55700086</t>
  </si>
  <si>
    <t>5012</t>
  </si>
  <si>
    <t>Morton</t>
  </si>
  <si>
    <t>54958010</t>
  </si>
  <si>
    <t>54958011</t>
  </si>
  <si>
    <t>55458010</t>
  </si>
  <si>
    <t>5016</t>
  </si>
  <si>
    <t>Hydro Contracts</t>
  </si>
  <si>
    <t>Wetherbee</t>
  </si>
  <si>
    <t>55700087</t>
  </si>
  <si>
    <t>92000099</t>
  </si>
  <si>
    <t>5018</t>
  </si>
  <si>
    <t>Crystal Mountain</t>
  </si>
  <si>
    <t>92000578</t>
  </si>
  <si>
    <t>5300</t>
  </si>
  <si>
    <t>Coal Operation &amp; Fue</t>
  </si>
  <si>
    <t>M. Jones</t>
  </si>
  <si>
    <t>92000590</t>
  </si>
  <si>
    <t>5301</t>
  </si>
  <si>
    <t>Risk Control/C.Janak</t>
  </si>
  <si>
    <t>55700095</t>
  </si>
  <si>
    <t>92006510</t>
  </si>
  <si>
    <t>5305</t>
  </si>
  <si>
    <t>Col 1&amp;2 Admin &amp; Engr</t>
  </si>
  <si>
    <t>Jones</t>
  </si>
  <si>
    <t>18600060</t>
  </si>
  <si>
    <t>5315</t>
  </si>
  <si>
    <t>Res Acq &amp; Emerg Tech</t>
  </si>
  <si>
    <t>Garratt</t>
  </si>
  <si>
    <t>92000595</t>
  </si>
  <si>
    <t>5316</t>
  </si>
  <si>
    <t>Resource Acquisition</t>
  </si>
  <si>
    <t>Christine Philipps</t>
  </si>
  <si>
    <t>92007550</t>
  </si>
  <si>
    <t>5317</t>
  </si>
  <si>
    <t>Emerg Tech &amp; Clim Ch</t>
  </si>
  <si>
    <t>Roger Garratt</t>
  </si>
  <si>
    <t>92000871</t>
  </si>
  <si>
    <t>92000872</t>
  </si>
  <si>
    <t>5318</t>
  </si>
  <si>
    <t>Resource Acq-Develop</t>
  </si>
  <si>
    <t>92007570</t>
  </si>
  <si>
    <t>5325</t>
  </si>
  <si>
    <t>HopkinsRidge/StClair</t>
  </si>
  <si>
    <t>St. Clair</t>
  </si>
  <si>
    <t>54601040</t>
  </si>
  <si>
    <t>5327</t>
  </si>
  <si>
    <t>Wildhorse</t>
  </si>
  <si>
    <t>54601030</t>
  </si>
  <si>
    <t>5329</t>
  </si>
  <si>
    <t>Resource Integration</t>
  </si>
  <si>
    <t>Faulkner</t>
  </si>
  <si>
    <t>56160021</t>
  </si>
  <si>
    <t>56180001</t>
  </si>
  <si>
    <t>92000101</t>
  </si>
  <si>
    <t>5340</t>
  </si>
  <si>
    <t>Budgeting &amp; Admin.</t>
  </si>
  <si>
    <t>K. Chandler</t>
  </si>
  <si>
    <t>92000585</t>
  </si>
  <si>
    <t>92003805</t>
  </si>
  <si>
    <t>92006260</t>
  </si>
  <si>
    <t>5360</t>
  </si>
  <si>
    <t>Eng Trade/PowerSuply</t>
  </si>
  <si>
    <t>Mills</t>
  </si>
  <si>
    <t>55700090</t>
  </si>
  <si>
    <t>5370</t>
  </si>
  <si>
    <t>Eng Trade/Gas Supply</t>
  </si>
  <si>
    <t>92003360</t>
  </si>
  <si>
    <t>5380</t>
  </si>
  <si>
    <t>Engery Risk Mgmt</t>
  </si>
  <si>
    <t>Aladin</t>
  </si>
  <si>
    <t>92006505</t>
  </si>
  <si>
    <t>6002</t>
  </si>
  <si>
    <t>Reg Affairs / DeBoer</t>
  </si>
  <si>
    <t>Thomas DeBoer</t>
  </si>
  <si>
    <t>92000172</t>
  </si>
  <si>
    <t>OPERATING REVENUES</t>
  </si>
  <si>
    <t xml:space="preserve">Staff Proposed </t>
  </si>
  <si>
    <t>Staff Adjustment</t>
  </si>
  <si>
    <t>Company Adjustment</t>
  </si>
  <si>
    <t>Other Operating Revenues</t>
  </si>
  <si>
    <t>Amortization of Summit Buyout Purchase Option</t>
  </si>
  <si>
    <t>Increase (Decrease) in Revenue</t>
  </si>
  <si>
    <t>Amort of Deferred Taxes of Indirect Overheads</t>
  </si>
  <si>
    <t xml:space="preserve">      Regulatory Asset (WUTC DOC # UE-051527)</t>
  </si>
  <si>
    <t xml:space="preserve">Amort of Interest Associated with Deferral of Unrecovered </t>
  </si>
  <si>
    <t xml:space="preserve">      Residential Exchange Benefits Credited to Customers ( WUTC </t>
  </si>
  <si>
    <t xml:space="preserve">Cost of Planned Transmission Vegetation Management Wire Zone.  </t>
  </si>
  <si>
    <t>Increase in Service Contract O&amp;M Baseline Charges, Transmission</t>
  </si>
  <si>
    <t>Increase in Service Contract O&amp;M Baseline Charges, Distribution</t>
  </si>
  <si>
    <t>Company Store- Net Purchase/Sales of Merchandise inA&amp;G</t>
  </si>
  <si>
    <t>Summit Building Contractual Rent 4th Floor-New</t>
  </si>
  <si>
    <t>Summit Building Contractual Rent Increases</t>
  </si>
  <si>
    <t>Airport Parking</t>
  </si>
  <si>
    <t>Athletic Events - Charged Above the Line</t>
  </si>
  <si>
    <t>Advertizing Expenses</t>
  </si>
  <si>
    <t>Increase(Decrease ) in Expense</t>
  </si>
  <si>
    <t xml:space="preserve">Increase(Decrease ) FIT @ 35% </t>
  </si>
  <si>
    <t>Total Increase(Decrease ) in Income</t>
  </si>
  <si>
    <t>Increase(Decrease ) NOI</t>
  </si>
  <si>
    <t>Puget Sound Energy, Inc</t>
  </si>
  <si>
    <t>Test Year Ended December 2008</t>
  </si>
  <si>
    <t>Docket No. 090704 &amp; 090705</t>
  </si>
  <si>
    <t xml:space="preserve">      Regulatory Asset (WUTC DOC # UG-051528)</t>
  </si>
  <si>
    <t>Witness: Michael D. Foisy</t>
  </si>
  <si>
    <t>Miscellaneous Operating Expenses</t>
  </si>
  <si>
    <r>
      <t xml:space="preserve">Exhibit N0. </t>
    </r>
    <r>
      <rPr>
        <sz val="10"/>
        <rFont val="Times New Roman"/>
        <family val="1"/>
      </rPr>
      <t>MDF-2</t>
    </r>
  </si>
  <si>
    <r>
      <t xml:space="preserve">Exhibit N0. </t>
    </r>
    <r>
      <rPr>
        <sz val="10"/>
        <rFont val="Times New Roman"/>
        <family val="1"/>
      </rPr>
      <t>MDF-3</t>
    </r>
  </si>
  <si>
    <t>10.14E Electric</t>
  </si>
  <si>
    <t>9.09 Gas</t>
  </si>
</sst>
</file>

<file path=xl/styles.xml><?xml version="1.0" encoding="utf-8"?>
<styleSheet xmlns="http://schemas.openxmlformats.org/spreadsheetml/2006/main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0.00_)"/>
    <numFmt numFmtId="167" formatCode="&quot;$&quot;#,##0"/>
    <numFmt numFmtId="168" formatCode="0.000%"/>
    <numFmt numFmtId="169" formatCode="m/d/yy;@"/>
    <numFmt numFmtId="170" formatCode="#,##0.00000"/>
    <numFmt numFmtId="171" formatCode="_(* #,##0.00000_);_(* \(#,##0.00000\);_(* &quot;-&quot;??_);_(@_)"/>
    <numFmt numFmtId="172" formatCode="_(* ###0_);_(* \(###0\);_(* &quot;-&quot;_);_(@_)"/>
  </numFmts>
  <fonts count="3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  <font>
      <b/>
      <i/>
      <sz val="16"/>
      <name val="Helv"/>
    </font>
    <font>
      <sz val="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b/>
      <sz val="16"/>
      <color indexed="2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24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 val="singleAccounting"/>
      <sz val="10"/>
      <name val="Arial"/>
      <family val="2"/>
    </font>
    <font>
      <sz val="10"/>
      <name val="MS Sans Serif"/>
      <family val="2"/>
    </font>
    <font>
      <b/>
      <sz val="14"/>
      <color indexed="10"/>
      <name val="Arial"/>
      <family val="2"/>
    </font>
    <font>
      <sz val="8"/>
      <name val="Arial"/>
    </font>
    <font>
      <b/>
      <sz val="10"/>
      <color indexed="10"/>
      <name val="Times New Roman"/>
      <family val="1"/>
    </font>
    <font>
      <u/>
      <sz val="10"/>
      <name val="Times New Roman"/>
      <family val="1"/>
    </font>
    <font>
      <sz val="10"/>
      <color theme="4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0"/>
      <color theme="4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165" fontId="1" fillId="0" borderId="0">
      <alignment horizontal="left" wrapText="1"/>
    </xf>
    <xf numFmtId="171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1" fillId="0" borderId="0"/>
    <xf numFmtId="2" fontId="18" fillId="0" borderId="0" applyFont="0" applyFill="0" applyBorder="0" applyAlignment="0" applyProtection="0"/>
    <xf numFmtId="38" fontId="6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38" fontId="12" fillId="0" borderId="0"/>
    <xf numFmtId="40" fontId="12" fillId="0" borderId="0"/>
    <xf numFmtId="10" fontId="6" fillId="3" borderId="1" applyNumberFormat="0" applyBorder="0" applyAlignment="0" applyProtection="0"/>
    <xf numFmtId="44" fontId="9" fillId="0" borderId="2" applyNumberFormat="0" applyFont="0" applyAlignment="0">
      <alignment horizontal="center"/>
    </xf>
    <xf numFmtId="44" fontId="9" fillId="0" borderId="3" applyNumberFormat="0" applyFont="0" applyAlignment="0">
      <alignment horizontal="center"/>
    </xf>
    <xf numFmtId="166" fontId="7" fillId="0" borderId="0"/>
    <xf numFmtId="0" fontId="23" fillId="0" borderId="0"/>
    <xf numFmtId="0" fontId="10" fillId="0" borderId="0"/>
    <xf numFmtId="0" fontId="10" fillId="0" borderId="0"/>
    <xf numFmtId="0" fontId="1" fillId="0" borderId="0"/>
    <xf numFmtId="37" fontId="1" fillId="0" borderId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" fontId="15" fillId="4" borderId="4" applyNumberFormat="0" applyProtection="0">
      <alignment vertical="center"/>
    </xf>
    <xf numFmtId="4" fontId="15" fillId="4" borderId="4" applyNumberFormat="0" applyProtection="0">
      <alignment horizontal="left" vertical="center" indent="1"/>
    </xf>
    <xf numFmtId="0" fontId="1" fillId="5" borderId="4" applyNumberFormat="0" applyProtection="0">
      <alignment horizontal="left" vertical="center" indent="1"/>
    </xf>
    <xf numFmtId="4" fontId="16" fillId="6" borderId="4" applyNumberFormat="0" applyProtection="0">
      <alignment horizontal="left" vertical="center" indent="1"/>
    </xf>
    <xf numFmtId="4" fontId="15" fillId="7" borderId="5" applyNumberFormat="0" applyProtection="0">
      <alignment horizontal="left" vertical="center" indent="1"/>
    </xf>
    <xf numFmtId="4" fontId="17" fillId="7" borderId="4" applyNumberFormat="0" applyProtection="0">
      <alignment horizontal="left" vertical="center" indent="1"/>
    </xf>
    <xf numFmtId="4" fontId="17" fillId="8" borderId="4" applyNumberFormat="0" applyProtection="0">
      <alignment horizontal="left" vertical="center" indent="1"/>
    </xf>
    <xf numFmtId="0" fontId="1" fillId="8" borderId="4" applyNumberFormat="0" applyProtection="0">
      <alignment horizontal="left" vertical="center" indent="1"/>
    </xf>
    <xf numFmtId="4" fontId="15" fillId="7" borderId="4" applyNumberFormat="0" applyProtection="0">
      <alignment horizontal="right" vertical="center"/>
    </xf>
    <xf numFmtId="0" fontId="1" fillId="5" borderId="4" applyNumberFormat="0" applyProtection="0">
      <alignment horizontal="left" vertical="center" indent="1"/>
    </xf>
    <xf numFmtId="0" fontId="1" fillId="5" borderId="4" applyNumberFormat="0" applyProtection="0">
      <alignment horizontal="left" vertical="center" indent="1"/>
    </xf>
    <xf numFmtId="0" fontId="14" fillId="0" borderId="0"/>
    <xf numFmtId="38" fontId="6" fillId="0" borderId="6"/>
    <xf numFmtId="38" fontId="12" fillId="0" borderId="7"/>
    <xf numFmtId="165" fontId="1" fillId="0" borderId="0">
      <alignment horizontal="left" wrapText="1"/>
    </xf>
    <xf numFmtId="0" fontId="18" fillId="0" borderId="8" applyNumberFormat="0" applyFont="0" applyFill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164" fontId="4" fillId="0" borderId="0" xfId="5" applyNumberFormat="1" applyFont="1" applyFill="1" applyBorder="1"/>
    <xf numFmtId="164" fontId="4" fillId="0" borderId="9" xfId="5" applyNumberFormat="1" applyFont="1" applyFill="1" applyBorder="1"/>
    <xf numFmtId="0" fontId="4" fillId="0" borderId="0" xfId="0" quotePrefix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37" fontId="4" fillId="0" borderId="0" xfId="0" applyNumberFormat="1" applyFont="1" applyFill="1"/>
    <xf numFmtId="0" fontId="4" fillId="0" borderId="9" xfId="0" applyFont="1" applyFill="1" applyBorder="1" applyAlignment="1">
      <alignment horizontal="left"/>
    </xf>
    <xf numFmtId="0" fontId="8" fillId="0" borderId="0" xfId="0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0" fontId="0" fillId="0" borderId="10" xfId="0" applyBorder="1"/>
    <xf numFmtId="17" fontId="0" fillId="0" borderId="13" xfId="0" applyNumberFormat="1" applyBorder="1" applyAlignment="1">
      <alignment horizontal="left"/>
    </xf>
    <xf numFmtId="41" fontId="0" fillId="0" borderId="14" xfId="0" applyNumberFormat="1" applyBorder="1"/>
    <xf numFmtId="41" fontId="0" fillId="0" borderId="0" xfId="0" applyNumberFormat="1" applyBorder="1"/>
    <xf numFmtId="41" fontId="0" fillId="0" borderId="15" xfId="0" applyNumberFormat="1" applyBorder="1"/>
    <xf numFmtId="0" fontId="0" fillId="0" borderId="13" xfId="0" applyBorder="1"/>
    <xf numFmtId="42" fontId="0" fillId="0" borderId="11" xfId="0" applyNumberFormat="1" applyBorder="1"/>
    <xf numFmtId="42" fontId="0" fillId="0" borderId="16" xfId="0" applyNumberFormat="1" applyBorder="1"/>
    <xf numFmtId="42" fontId="0" fillId="0" borderId="12" xfId="0" applyNumberFormat="1" applyBorder="1"/>
    <xf numFmtId="42" fontId="0" fillId="0" borderId="1" xfId="0" applyNumberFormat="1" applyBorder="1"/>
    <xf numFmtId="0" fontId="0" fillId="0" borderId="0" xfId="0" applyBorder="1"/>
    <xf numFmtId="0" fontId="0" fillId="0" borderId="17" xfId="0" applyBorder="1"/>
    <xf numFmtId="0" fontId="3" fillId="0" borderId="0" xfId="0" applyFont="1" applyFill="1" applyBorder="1" applyAlignment="1">
      <alignment horizontal="center"/>
    </xf>
    <xf numFmtId="164" fontId="0" fillId="0" borderId="0" xfId="0" applyNumberFormat="1"/>
    <xf numFmtId="0" fontId="2" fillId="0" borderId="16" xfId="0" applyFont="1" applyBorder="1" applyAlignment="1">
      <alignment horizontal="centerContinuous"/>
    </xf>
    <xf numFmtId="3" fontId="0" fillId="0" borderId="0" xfId="0" applyNumberFormat="1"/>
    <xf numFmtId="0" fontId="2" fillId="0" borderId="0" xfId="0" applyFont="1" applyAlignment="1">
      <alignment horizontal="right"/>
    </xf>
    <xf numFmtId="0" fontId="0" fillId="0" borderId="9" xfId="0" applyBorder="1" applyAlignment="1">
      <alignment horizontal="center"/>
    </xf>
    <xf numFmtId="0" fontId="2" fillId="0" borderId="9" xfId="0" applyFont="1" applyBorder="1"/>
    <xf numFmtId="0" fontId="0" fillId="0" borderId="13" xfId="0" applyBorder="1" applyAlignment="1">
      <alignment horizontal="center"/>
    </xf>
    <xf numFmtId="42" fontId="0" fillId="0" borderId="0" xfId="0" applyNumberFormat="1"/>
    <xf numFmtId="10" fontId="0" fillId="0" borderId="0" xfId="28" applyNumberFormat="1" applyFont="1"/>
    <xf numFmtId="37" fontId="1" fillId="0" borderId="0" xfId="27"/>
    <xf numFmtId="37" fontId="1" fillId="0" borderId="7" xfId="27" applyBorder="1"/>
    <xf numFmtId="168" fontId="1" fillId="0" borderId="0" xfId="28" applyNumberFormat="1"/>
    <xf numFmtId="168" fontId="1" fillId="0" borderId="7" xfId="28" applyNumberFormat="1" applyBorder="1"/>
    <xf numFmtId="37" fontId="1" fillId="0" borderId="0" xfId="27" applyBorder="1"/>
    <xf numFmtId="37" fontId="1" fillId="0" borderId="0" xfId="27" applyBorder="1" applyAlignment="1">
      <alignment horizontal="center"/>
    </xf>
    <xf numFmtId="168" fontId="1" fillId="9" borderId="0" xfId="28" applyNumberFormat="1" applyFill="1"/>
    <xf numFmtId="3" fontId="0" fillId="0" borderId="0" xfId="0" applyNumberFormat="1" applyAlignment="1">
      <alignment horizontal="center"/>
    </xf>
    <xf numFmtId="3" fontId="13" fillId="0" borderId="0" xfId="0" applyNumberFormat="1" applyFont="1"/>
    <xf numFmtId="3" fontId="0" fillId="0" borderId="0" xfId="0" applyNumberFormat="1" applyBorder="1"/>
    <xf numFmtId="3" fontId="0" fillId="0" borderId="0" xfId="0" applyNumberFormat="1" applyBorder="1" applyAlignment="1">
      <alignment horizontal="center"/>
    </xf>
    <xf numFmtId="10" fontId="0" fillId="0" borderId="0" xfId="0" applyNumberFormat="1" applyBorder="1"/>
    <xf numFmtId="10" fontId="0" fillId="0" borderId="0" xfId="0" applyNumberForma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67" fontId="0" fillId="0" borderId="0" xfId="0" applyNumberFormat="1" applyFill="1" applyBorder="1"/>
    <xf numFmtId="3" fontId="0" fillId="0" borderId="0" xfId="0" applyNumberFormat="1" applyFill="1" applyBorder="1"/>
    <xf numFmtId="3" fontId="0" fillId="0" borderId="0" xfId="0" applyNumberFormat="1" applyFill="1"/>
    <xf numFmtId="170" fontId="0" fillId="0" borderId="0" xfId="0" applyNumberFormat="1" applyFill="1" applyBorder="1"/>
    <xf numFmtId="3" fontId="0" fillId="0" borderId="9" xfId="0" applyNumberFormat="1" applyBorder="1" applyAlignment="1">
      <alignment horizontal="center"/>
    </xf>
    <xf numFmtId="3" fontId="0" fillId="0" borderId="18" xfId="0" applyNumberFormat="1" applyBorder="1"/>
    <xf numFmtId="3" fontId="2" fillId="0" borderId="0" xfId="0" applyNumberFormat="1" applyFont="1"/>
    <xf numFmtId="42" fontId="0" fillId="0" borderId="0" xfId="0" applyNumberFormat="1" applyBorder="1"/>
    <xf numFmtId="169" fontId="0" fillId="0" borderId="0" xfId="0" applyNumberFormat="1" applyBorder="1"/>
    <xf numFmtId="3" fontId="11" fillId="0" borderId="0" xfId="0" applyNumberFormat="1" applyFont="1"/>
    <xf numFmtId="37" fontId="0" fillId="0" borderId="0" xfId="0" applyNumberFormat="1" applyBorder="1"/>
    <xf numFmtId="169" fontId="2" fillId="0" borderId="0" xfId="0" applyNumberFormat="1" applyFont="1" applyBorder="1"/>
    <xf numFmtId="3" fontId="2" fillId="0" borderId="0" xfId="0" applyNumberFormat="1" applyFont="1" applyBorder="1"/>
    <xf numFmtId="37" fontId="2" fillId="0" borderId="0" xfId="0" applyNumberFormat="1" applyFont="1" applyBorder="1"/>
    <xf numFmtId="37" fontId="0" fillId="0" borderId="0" xfId="0" applyNumberFormat="1" applyFill="1" applyBorder="1"/>
    <xf numFmtId="37" fontId="0" fillId="0" borderId="0" xfId="0" applyNumberFormat="1" applyFill="1"/>
    <xf numFmtId="37" fontId="0" fillId="0" borderId="0" xfId="0" applyNumberFormat="1"/>
    <xf numFmtId="37" fontId="0" fillId="0" borderId="19" xfId="0" applyNumberFormat="1" applyBorder="1"/>
    <xf numFmtId="3" fontId="11" fillId="0" borderId="0" xfId="0" applyNumberFormat="1" applyFont="1" applyBorder="1" applyAlignment="1">
      <alignment horizontal="center"/>
    </xf>
    <xf numFmtId="37" fontId="0" fillId="0" borderId="9" xfId="0" applyNumberFormat="1" applyBorder="1"/>
    <xf numFmtId="0" fontId="2" fillId="0" borderId="20" xfId="0" applyFont="1" applyBorder="1" applyAlignment="1">
      <alignment horizontal="centerContinuous"/>
    </xf>
    <xf numFmtId="42" fontId="0" fillId="0" borderId="9" xfId="0" applyNumberFormat="1" applyBorder="1"/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1" fontId="0" fillId="0" borderId="21" xfId="0" applyNumberFormat="1" applyBorder="1"/>
    <xf numFmtId="10" fontId="2" fillId="0" borderId="16" xfId="0" applyNumberFormat="1" applyFont="1" applyBorder="1" applyAlignment="1">
      <alignment horizontal="center"/>
    </xf>
    <xf numFmtId="10" fontId="2" fillId="0" borderId="20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7" xfId="0" quotePrefix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8" fontId="1" fillId="0" borderId="0" xfId="28" applyNumberFormat="1" applyFill="1"/>
    <xf numFmtId="43" fontId="0" fillId="0" borderId="0" xfId="0" applyNumberFormat="1"/>
    <xf numFmtId="0" fontId="11" fillId="0" borderId="0" xfId="0" applyNumberFormat="1" applyFont="1" applyBorder="1" applyAlignment="1">
      <alignment horizontal="center"/>
    </xf>
    <xf numFmtId="0" fontId="0" fillId="10" borderId="0" xfId="0" applyFill="1"/>
    <xf numFmtId="3" fontId="0" fillId="10" borderId="0" xfId="0" applyNumberFormat="1" applyFill="1"/>
    <xf numFmtId="17" fontId="0" fillId="0" borderId="0" xfId="0" applyNumberFormat="1" applyBorder="1"/>
    <xf numFmtId="0" fontId="10" fillId="0" borderId="0" xfId="0" applyFont="1"/>
    <xf numFmtId="44" fontId="0" fillId="0" borderId="0" xfId="0" applyNumberFormat="1"/>
    <xf numFmtId="164" fontId="0" fillId="0" borderId="0" xfId="5" applyNumberFormat="1" applyFont="1"/>
    <xf numFmtId="0" fontId="0" fillId="0" borderId="1" xfId="0" applyBorder="1"/>
    <xf numFmtId="0" fontId="4" fillId="0" borderId="0" xfId="0" applyFont="1" applyFill="1" applyAlignment="1">
      <alignment horizontal="left" wrapText="1"/>
    </xf>
    <xf numFmtId="41" fontId="4" fillId="0" borderId="0" xfId="5" applyNumberFormat="1" applyFont="1" applyFill="1" applyAlignment="1">
      <alignment wrapText="1"/>
    </xf>
    <xf numFmtId="165" fontId="4" fillId="0" borderId="0" xfId="45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16" xfId="0" applyFont="1" applyBorder="1" applyAlignment="1">
      <alignment horizontal="left"/>
    </xf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0" xfId="8" applyFont="1"/>
    <xf numFmtId="0" fontId="0" fillId="0" borderId="17" xfId="0" applyBorder="1" applyAlignment="1">
      <alignment horizontal="center"/>
    </xf>
    <xf numFmtId="44" fontId="0" fillId="0" borderId="1" xfId="8" applyFont="1" applyBorder="1"/>
    <xf numFmtId="44" fontId="0" fillId="0" borderId="0" xfId="8" applyFont="1" applyBorder="1"/>
    <xf numFmtId="165" fontId="4" fillId="0" borderId="0" xfId="45" applyFont="1" applyFill="1" applyAlignment="1">
      <alignment horizontal="left"/>
    </xf>
    <xf numFmtId="1" fontId="4" fillId="0" borderId="0" xfId="45" applyNumberFormat="1" applyFont="1" applyFill="1" applyAlignment="1">
      <alignment horizontal="center"/>
    </xf>
    <xf numFmtId="0" fontId="24" fillId="0" borderId="0" xfId="0" applyFont="1"/>
    <xf numFmtId="43" fontId="0" fillId="0" borderId="9" xfId="0" applyNumberFormat="1" applyBorder="1"/>
    <xf numFmtId="43" fontId="0" fillId="0" borderId="0" xfId="0" applyNumberFormat="1" applyBorder="1"/>
    <xf numFmtId="165" fontId="4" fillId="0" borderId="0" xfId="45" applyFont="1" applyFill="1">
      <alignment horizontal="left" wrapText="1"/>
    </xf>
    <xf numFmtId="0" fontId="2" fillId="0" borderId="0" xfId="0" applyFont="1"/>
    <xf numFmtId="0" fontId="2" fillId="0" borderId="9" xfId="0" applyFont="1" applyBorder="1" applyAlignment="1">
      <alignment horizontal="center"/>
    </xf>
    <xf numFmtId="0" fontId="21" fillId="0" borderId="0" xfId="0" applyFont="1"/>
    <xf numFmtId="0" fontId="2" fillId="0" borderId="9" xfId="0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41" fontId="2" fillId="0" borderId="0" xfId="0" applyNumberFormat="1" applyFont="1" applyAlignment="1">
      <alignment horizontal="center"/>
    </xf>
    <xf numFmtId="41" fontId="2" fillId="0" borderId="9" xfId="0" applyNumberFormat="1" applyFont="1" applyBorder="1" applyAlignment="1">
      <alignment horizontal="center"/>
    </xf>
    <xf numFmtId="41" fontId="0" fillId="0" borderId="0" xfId="0" applyNumberFormat="1"/>
    <xf numFmtId="41" fontId="0" fillId="0" borderId="9" xfId="0" applyNumberFormat="1" applyBorder="1"/>
    <xf numFmtId="0" fontId="2" fillId="10" borderId="0" xfId="0" applyFont="1" applyFill="1"/>
    <xf numFmtId="41" fontId="2" fillId="10" borderId="0" xfId="0" applyNumberFormat="1" applyFont="1" applyFill="1"/>
    <xf numFmtId="41" fontId="0" fillId="10" borderId="0" xfId="0" applyNumberFormat="1" applyFill="1"/>
    <xf numFmtId="0" fontId="2" fillId="10" borderId="9" xfId="0" applyFont="1" applyFill="1" applyBorder="1" applyAlignment="1">
      <alignment horizontal="center"/>
    </xf>
    <xf numFmtId="41" fontId="0" fillId="10" borderId="9" xfId="0" applyNumberFormat="1" applyFill="1" applyBorder="1"/>
    <xf numFmtId="41" fontId="10" fillId="10" borderId="9" xfId="0" applyNumberFormat="1" applyFont="1" applyFill="1" applyBorder="1"/>
    <xf numFmtId="41" fontId="22" fillId="10" borderId="0" xfId="0" applyNumberFormat="1" applyFont="1" applyFill="1"/>
    <xf numFmtId="0" fontId="2" fillId="10" borderId="0" xfId="0" applyFont="1" applyFill="1" applyAlignment="1">
      <alignment horizontal="center"/>
    </xf>
    <xf numFmtId="41" fontId="2" fillId="10" borderId="0" xfId="0" applyNumberFormat="1" applyFont="1" applyFill="1" applyAlignment="1">
      <alignment horizontal="center"/>
    </xf>
    <xf numFmtId="41" fontId="19" fillId="10" borderId="0" xfId="0" applyNumberFormat="1" applyFont="1" applyFill="1"/>
    <xf numFmtId="43" fontId="0" fillId="10" borderId="0" xfId="0" applyNumberFormat="1" applyFill="1"/>
    <xf numFmtId="43" fontId="0" fillId="10" borderId="9" xfId="0" applyNumberFormat="1" applyFill="1" applyBorder="1"/>
    <xf numFmtId="0" fontId="2" fillId="10" borderId="9" xfId="0" applyFont="1" applyFill="1" applyBorder="1"/>
    <xf numFmtId="41" fontId="0" fillId="10" borderId="0" xfId="0" applyNumberFormat="1" applyFill="1" applyBorder="1"/>
    <xf numFmtId="43" fontId="0" fillId="0" borderId="0" xfId="5" applyFont="1"/>
    <xf numFmtId="0" fontId="20" fillId="0" borderId="0" xfId="0" applyFont="1"/>
    <xf numFmtId="43" fontId="0" fillId="2" borderId="1" xfId="5" applyFont="1" applyFill="1" applyBorder="1"/>
    <xf numFmtId="0" fontId="0" fillId="0" borderId="0" xfId="0" applyAlignment="1">
      <alignment indent="1"/>
    </xf>
    <xf numFmtId="14" fontId="0" fillId="0" borderId="0" xfId="0" applyNumberFormat="1" applyAlignment="1">
      <alignment horizontal="right"/>
    </xf>
    <xf numFmtId="43" fontId="0" fillId="0" borderId="0" xfId="5" applyFont="1" applyAlignment="1">
      <alignment horizontal="right"/>
    </xf>
    <xf numFmtId="0" fontId="0" fillId="10" borderId="1" xfId="0" applyFill="1" applyBorder="1"/>
    <xf numFmtId="14" fontId="0" fillId="10" borderId="1" xfId="0" applyNumberFormat="1" applyFill="1" applyBorder="1" applyAlignment="1">
      <alignment horizontal="right"/>
    </xf>
    <xf numFmtId="43" fontId="0" fillId="10" borderId="1" xfId="5" applyFont="1" applyFill="1" applyBorder="1" applyAlignment="1">
      <alignment horizontal="right"/>
    </xf>
    <xf numFmtId="10" fontId="0" fillId="0" borderId="0" xfId="5" applyNumberFormat="1" applyFont="1"/>
    <xf numFmtId="37" fontId="0" fillId="0" borderId="0" xfId="5" applyNumberFormat="1" applyFont="1"/>
    <xf numFmtId="41" fontId="0" fillId="0" borderId="0" xfId="5" applyNumberFormat="1" applyFont="1"/>
    <xf numFmtId="41" fontId="0" fillId="0" borderId="16" xfId="5" applyNumberFormat="1" applyFont="1" applyBorder="1"/>
    <xf numFmtId="0" fontId="23" fillId="0" borderId="0" xfId="23" quotePrefix="1"/>
    <xf numFmtId="0" fontId="23" fillId="0" borderId="0" xfId="23"/>
    <xf numFmtId="0" fontId="23" fillId="10" borderId="0" xfId="23" quotePrefix="1" applyFill="1"/>
    <xf numFmtId="42" fontId="4" fillId="0" borderId="7" xfId="0" applyNumberFormat="1" applyFont="1" applyBorder="1"/>
    <xf numFmtId="0" fontId="0" fillId="0" borderId="1" xfId="0" applyFill="1" applyBorder="1"/>
    <xf numFmtId="17" fontId="0" fillId="0" borderId="1" xfId="0" applyNumberFormat="1" applyFill="1" applyBorder="1"/>
    <xf numFmtId="43" fontId="0" fillId="0" borderId="1" xfId="0" applyNumberFormat="1" applyFill="1" applyBorder="1"/>
    <xf numFmtId="17" fontId="2" fillId="0" borderId="1" xfId="0" applyNumberFormat="1" applyFont="1" applyFill="1" applyBorder="1"/>
    <xf numFmtId="17" fontId="0" fillId="11" borderId="1" xfId="0" applyNumberFormat="1" applyFill="1" applyBorder="1"/>
    <xf numFmtId="43" fontId="0" fillId="11" borderId="17" xfId="0" applyNumberFormat="1" applyFill="1" applyBorder="1"/>
    <xf numFmtId="43" fontId="0" fillId="11" borderId="1" xfId="0" applyNumberFormat="1" applyFill="1" applyBorder="1"/>
    <xf numFmtId="43" fontId="2" fillId="11" borderId="1" xfId="0" applyNumberFormat="1" applyFont="1" applyFill="1" applyBorder="1"/>
    <xf numFmtId="44" fontId="0" fillId="0" borderId="1" xfId="0" applyNumberFormat="1" applyBorder="1"/>
    <xf numFmtId="42" fontId="10" fillId="0" borderId="1" xfId="0" applyNumberFormat="1" applyFont="1" applyFill="1" applyBorder="1"/>
    <xf numFmtId="164" fontId="4" fillId="0" borderId="0" xfId="0" applyNumberFormat="1" applyFont="1" applyFill="1"/>
    <xf numFmtId="0" fontId="3" fillId="0" borderId="0" xfId="0" applyFont="1" applyFill="1" applyAlignment="1" applyProtection="1">
      <alignment horizontal="center"/>
      <protection locked="0"/>
    </xf>
    <xf numFmtId="0" fontId="4" fillId="0" borderId="9" xfId="0" applyFont="1" applyBorder="1"/>
    <xf numFmtId="37" fontId="4" fillId="0" borderId="0" xfId="0" applyNumberFormat="1" applyFont="1"/>
    <xf numFmtId="37" fontId="4" fillId="0" borderId="0" xfId="0" applyNumberFormat="1" applyFont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4" fillId="0" borderId="9" xfId="5" applyNumberFormat="1" applyFont="1" applyFill="1" applyBorder="1" applyAlignment="1">
      <alignment wrapText="1"/>
    </xf>
    <xf numFmtId="37" fontId="4" fillId="0" borderId="9" xfId="0" applyNumberFormat="1" applyFont="1" applyBorder="1"/>
    <xf numFmtId="37" fontId="4" fillId="0" borderId="9" xfId="0" applyNumberFormat="1" applyFont="1" applyBorder="1" applyAlignment="1">
      <alignment horizontal="right"/>
    </xf>
    <xf numFmtId="37" fontId="4" fillId="0" borderId="0" xfId="45" applyNumberFormat="1" applyFont="1" applyFill="1" applyAlignment="1">
      <alignment horizontal="right"/>
    </xf>
    <xf numFmtId="37" fontId="4" fillId="0" borderId="0" xfId="5" applyNumberFormat="1" applyFont="1" applyFill="1"/>
    <xf numFmtId="37" fontId="4" fillId="0" borderId="0" xfId="0" applyNumberFormat="1" applyFont="1" applyFill="1" applyBorder="1" applyAlignment="1">
      <alignment horizontal="right"/>
    </xf>
    <xf numFmtId="37" fontId="4" fillId="0" borderId="0" xfId="5" applyNumberFormat="1" applyFont="1" applyFill="1" applyAlignment="1">
      <alignment wrapText="1"/>
    </xf>
    <xf numFmtId="37" fontId="4" fillId="0" borderId="0" xfId="5" applyNumberFormat="1" applyFont="1" applyFill="1" applyBorder="1"/>
    <xf numFmtId="37" fontId="4" fillId="0" borderId="0" xfId="5" applyNumberFormat="1" applyFont="1" applyFill="1" applyBorder="1" applyAlignment="1">
      <alignment wrapText="1"/>
    </xf>
    <xf numFmtId="37" fontId="4" fillId="0" borderId="9" xfId="0" applyNumberFormat="1" applyFont="1" applyFill="1" applyBorder="1"/>
    <xf numFmtId="37" fontId="4" fillId="0" borderId="7" xfId="0" applyNumberFormat="1" applyFont="1" applyBorder="1"/>
    <xf numFmtId="37" fontId="4" fillId="0" borderId="0" xfId="45" applyNumberFormat="1" applyFont="1" applyFill="1" applyAlignment="1">
      <alignment horizontal="left"/>
    </xf>
    <xf numFmtId="37" fontId="3" fillId="0" borderId="0" xfId="0" applyNumberFormat="1" applyFont="1"/>
    <xf numFmtId="37" fontId="3" fillId="0" borderId="9" xfId="0" applyNumberFormat="1" applyFont="1" applyFill="1" applyBorder="1" applyAlignment="1">
      <alignment horizontal="right"/>
    </xf>
    <xf numFmtId="0" fontId="26" fillId="0" borderId="0" xfId="0" applyFont="1"/>
    <xf numFmtId="0" fontId="4" fillId="11" borderId="0" xfId="0" applyFont="1" applyFill="1"/>
    <xf numFmtId="37" fontId="3" fillId="0" borderId="0" xfId="0" applyNumberFormat="1" applyFont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wrapText="1"/>
    </xf>
    <xf numFmtId="0" fontId="4" fillId="0" borderId="0" xfId="0" applyFont="1" applyAlignment="1">
      <alignment wrapText="1"/>
    </xf>
    <xf numFmtId="9" fontId="4" fillId="0" borderId="0" xfId="45" applyNumberFormat="1" applyFont="1" applyFill="1" applyAlignment="1">
      <alignment horizontal="left"/>
    </xf>
    <xf numFmtId="37" fontId="4" fillId="0" borderId="9" xfId="45" applyNumberFormat="1" applyFont="1" applyFill="1" applyBorder="1" applyAlignment="1">
      <alignment horizontal="right"/>
    </xf>
    <xf numFmtId="0" fontId="4" fillId="0" borderId="9" xfId="0" applyFont="1" applyBorder="1" applyAlignment="1">
      <alignment horizontal="left"/>
    </xf>
    <xf numFmtId="0" fontId="4" fillId="0" borderId="0" xfId="0" applyFont="1" applyBorder="1"/>
    <xf numFmtId="37" fontId="27" fillId="0" borderId="0" xfId="0" applyNumberFormat="1" applyFont="1"/>
    <xf numFmtId="0" fontId="27" fillId="0" borderId="0" xfId="0" applyFont="1" applyFill="1" applyBorder="1"/>
    <xf numFmtId="37" fontId="27" fillId="0" borderId="0" xfId="0" applyNumberFormat="1" applyFont="1" applyAlignment="1">
      <alignment horizontal="right"/>
    </xf>
    <xf numFmtId="37" fontId="3" fillId="0" borderId="9" xfId="0" applyNumberFormat="1" applyFont="1" applyFill="1" applyBorder="1" applyAlignment="1">
      <alignment horizontal="center" wrapText="1"/>
    </xf>
    <xf numFmtId="37" fontId="3" fillId="0" borderId="9" xfId="0" applyNumberFormat="1" applyFont="1" applyFill="1" applyBorder="1" applyAlignment="1">
      <alignment horizontal="right" wrapText="1"/>
    </xf>
    <xf numFmtId="37" fontId="4" fillId="0" borderId="0" xfId="0" applyNumberFormat="1" applyFont="1" applyAlignment="1"/>
    <xf numFmtId="37" fontId="4" fillId="0" borderId="0" xfId="0" applyNumberFormat="1" applyFont="1" applyBorder="1" applyAlignment="1">
      <alignment horizontal="right"/>
    </xf>
    <xf numFmtId="37" fontId="4" fillId="0" borderId="0" xfId="0" applyNumberFormat="1" applyFont="1" applyAlignment="1"/>
    <xf numFmtId="0" fontId="4" fillId="0" borderId="0" xfId="47" applyFont="1" applyAlignment="1">
      <alignment horizontal="left"/>
    </xf>
    <xf numFmtId="37" fontId="28" fillId="0" borderId="0" xfId="0" applyNumberFormat="1" applyFont="1" applyAlignment="1">
      <alignment horizontal="right"/>
    </xf>
    <xf numFmtId="37" fontId="28" fillId="0" borderId="9" xfId="0" applyNumberFormat="1" applyFont="1" applyBorder="1" applyAlignment="1">
      <alignment horizontal="right"/>
    </xf>
    <xf numFmtId="0" fontId="4" fillId="0" borderId="0" xfId="47" applyFont="1" applyAlignment="1">
      <alignment horizontal="left"/>
    </xf>
    <xf numFmtId="0" fontId="3" fillId="0" borderId="0" xfId="0" applyFont="1" applyFill="1" applyAlignment="1" applyProtection="1">
      <alignment horizontal="center"/>
      <protection locked="0"/>
    </xf>
    <xf numFmtId="0" fontId="0" fillId="0" borderId="0" xfId="0" applyAlignment="1"/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26" applyFont="1" applyFill="1" applyAlignment="1" applyProtection="1">
      <alignment horizontal="center"/>
      <protection locked="0"/>
    </xf>
    <xf numFmtId="0" fontId="3" fillId="0" borderId="0" xfId="26" applyFont="1" applyAlignment="1">
      <alignment horizontal="center"/>
    </xf>
    <xf numFmtId="0" fontId="3" fillId="0" borderId="0" xfId="26" applyFont="1" applyFill="1" applyAlignment="1">
      <alignment horizontal="center"/>
    </xf>
    <xf numFmtId="37" fontId="4" fillId="0" borderId="0" xfId="0" applyNumberFormat="1" applyFont="1" applyAlignment="1"/>
    <xf numFmtId="37" fontId="29" fillId="0" borderId="9" xfId="0" applyNumberFormat="1" applyFont="1" applyBorder="1"/>
    <xf numFmtId="37" fontId="30" fillId="0" borderId="9" xfId="0" applyNumberFormat="1" applyFont="1" applyBorder="1" applyAlignment="1">
      <alignment horizontal="right"/>
    </xf>
    <xf numFmtId="37" fontId="30" fillId="0" borderId="0" xfId="0" applyNumberFormat="1" applyFont="1"/>
    <xf numFmtId="37" fontId="30" fillId="0" borderId="0" xfId="0" applyNumberFormat="1" applyFont="1" applyAlignment="1">
      <alignment horizontal="right"/>
    </xf>
  </cellXfs>
  <cellStyles count="52">
    <cellStyle name="_4.06E Pass Throughs" xfId="1"/>
    <cellStyle name="_4.13E Montana Energy Tax" xfId="2"/>
    <cellStyle name="_Costs not in KWI3000 '06Budget" xfId="3"/>
    <cellStyle name="_Recon to Darrin's 5.11.05 proforma" xfId="4"/>
    <cellStyle name="Comma" xfId="5" builtinId="3"/>
    <cellStyle name="Comma 2 2" xfId="49"/>
    <cellStyle name="Comma 2 3" xfId="51"/>
    <cellStyle name="Comma 3" xfId="6"/>
    <cellStyle name="Comma0" xfId="7"/>
    <cellStyle name="Currency" xfId="8" builtinId="4"/>
    <cellStyle name="Currency 3" xfId="9"/>
    <cellStyle name="Currency0" xfId="10"/>
    <cellStyle name="Date" xfId="11"/>
    <cellStyle name="Entered" xfId="12"/>
    <cellStyle name="Fixed" xfId="13"/>
    <cellStyle name="Grey" xfId="14"/>
    <cellStyle name="Heading 1" xfId="15" builtinId="16" customBuiltin="1"/>
    <cellStyle name="Heading 2" xfId="16" builtinId="17" customBuiltin="1"/>
    <cellStyle name="Heading1" xfId="17"/>
    <cellStyle name="Heading2" xfId="18"/>
    <cellStyle name="Input [yellow]" xfId="19"/>
    <cellStyle name="modified border" xfId="20"/>
    <cellStyle name="modified border1" xfId="21"/>
    <cellStyle name="Normal" xfId="0" builtinId="0"/>
    <cellStyle name="Normal - Style1" xfId="22"/>
    <cellStyle name="Normal 2" xfId="47"/>
    <cellStyle name="Normal 2 2" xfId="23"/>
    <cellStyle name="Normal 3" xfId="24"/>
    <cellStyle name="Normal 4" xfId="25"/>
    <cellStyle name="Normal 6" xfId="48"/>
    <cellStyle name="Normal 7" xfId="50"/>
    <cellStyle name="Normal_2.03E Power Costs 60 w-yrs DRAFT 02.13.04" xfId="26"/>
    <cellStyle name="Normal_Allocation of DT reOverhead Study (2)" xfId="27"/>
    <cellStyle name="Percent" xfId="28" builtinId="5"/>
    <cellStyle name="Percent [2]" xfId="29"/>
    <cellStyle name="Percent 4" xfId="30"/>
    <cellStyle name="SAPBEXaggData" xfId="31"/>
    <cellStyle name="SAPBEXaggItem" xfId="32"/>
    <cellStyle name="SAPBEXchaText" xfId="33"/>
    <cellStyle name="SAPBEXfilterDrill" xfId="34"/>
    <cellStyle name="SAPBEXfilterItem" xfId="35"/>
    <cellStyle name="SAPBEXheaderItem" xfId="36"/>
    <cellStyle name="SAPBEXheaderText" xfId="37"/>
    <cellStyle name="SAPBEXHLevel0X" xfId="38"/>
    <cellStyle name="SAPBEXstdData" xfId="39"/>
    <cellStyle name="SAPBEXstdItem" xfId="40"/>
    <cellStyle name="SAPBEXstdItemX" xfId="41"/>
    <cellStyle name="SAPBEXtitle" xfId="42"/>
    <cellStyle name="StmtTtl1" xfId="43"/>
    <cellStyle name="StmtTtl2" xfId="44"/>
    <cellStyle name="Style 1" xfId="45"/>
    <cellStyle name="Total" xfId="46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usernames" Target="revisions/userNam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styles" Target="styles.xml"/><Relationship Id="rId46" Type="http://schemas.openxmlformats.org/officeDocument/2006/relationships/customXml" Target="../customXml/item4.xml"/><Relationship Id="rId20" Type="http://schemas.openxmlformats.org/officeDocument/2006/relationships/externalLink" Target="externalLinks/externalLink11.xml"/><Relationship Id="rId41" Type="http://schemas.openxmlformats.org/officeDocument/2006/relationships/revisionHeaders" Target="revisions/revisionHeader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image0002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37949" name="Picture 23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36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pic>
      <xdr:nvPicPr>
        <xdr:cNvPr id="37950" name="Picture 21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5238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8</xdr:col>
      <xdr:colOff>0</xdr:colOff>
      <xdr:row>4</xdr:row>
      <xdr:rowOff>0</xdr:rowOff>
    </xdr:to>
    <xdr:pic>
      <xdr:nvPicPr>
        <xdr:cNvPr id="37951" name="Picture 19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685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pic>
      <xdr:nvPicPr>
        <xdr:cNvPr id="37952" name="Picture 17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pic>
      <xdr:nvPicPr>
        <xdr:cNvPr id="37953" name="Picture 15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009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pic>
      <xdr:nvPicPr>
        <xdr:cNvPr id="37954" name="Picture 13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171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pic>
      <xdr:nvPicPr>
        <xdr:cNvPr id="37955" name="Picture 11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333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0</xdr:rowOff>
    </xdr:to>
    <xdr:pic>
      <xdr:nvPicPr>
        <xdr:cNvPr id="37956" name="Picture 9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495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0</xdr:rowOff>
    </xdr:to>
    <xdr:pic>
      <xdr:nvPicPr>
        <xdr:cNvPr id="37957" name="Picture 7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657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11</xdr:row>
      <xdr:rowOff>0</xdr:rowOff>
    </xdr:from>
    <xdr:to>
      <xdr:col>8</xdr:col>
      <xdr:colOff>0</xdr:colOff>
      <xdr:row>11</xdr:row>
      <xdr:rowOff>0</xdr:rowOff>
    </xdr:to>
    <xdr:pic>
      <xdr:nvPicPr>
        <xdr:cNvPr id="37958" name="Picture 5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8192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12</xdr:row>
      <xdr:rowOff>0</xdr:rowOff>
    </xdr:from>
    <xdr:to>
      <xdr:col>8</xdr:col>
      <xdr:colOff>0</xdr:colOff>
      <xdr:row>12</xdr:row>
      <xdr:rowOff>0</xdr:rowOff>
    </xdr:to>
    <xdr:pic>
      <xdr:nvPicPr>
        <xdr:cNvPr id="37959" name="Picture 3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981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13</xdr:row>
      <xdr:rowOff>0</xdr:rowOff>
    </xdr:to>
    <xdr:pic>
      <xdr:nvPicPr>
        <xdr:cNvPr id="37960" name="Picture 1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2143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37961" name="Picture 23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36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pic>
      <xdr:nvPicPr>
        <xdr:cNvPr id="37962" name="Picture 21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5238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8</xdr:col>
      <xdr:colOff>0</xdr:colOff>
      <xdr:row>4</xdr:row>
      <xdr:rowOff>0</xdr:rowOff>
    </xdr:to>
    <xdr:pic>
      <xdr:nvPicPr>
        <xdr:cNvPr id="37963" name="Picture 19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685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pic>
      <xdr:nvPicPr>
        <xdr:cNvPr id="37964" name="Picture 17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pic>
      <xdr:nvPicPr>
        <xdr:cNvPr id="37965" name="Picture 15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009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pic>
      <xdr:nvPicPr>
        <xdr:cNvPr id="37966" name="Picture 13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171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pic>
      <xdr:nvPicPr>
        <xdr:cNvPr id="37967" name="Picture 11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333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0</xdr:rowOff>
    </xdr:to>
    <xdr:pic>
      <xdr:nvPicPr>
        <xdr:cNvPr id="37968" name="Picture 9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495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0</xdr:rowOff>
    </xdr:to>
    <xdr:pic>
      <xdr:nvPicPr>
        <xdr:cNvPr id="37969" name="Picture 7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657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11</xdr:row>
      <xdr:rowOff>0</xdr:rowOff>
    </xdr:from>
    <xdr:to>
      <xdr:col>8</xdr:col>
      <xdr:colOff>0</xdr:colOff>
      <xdr:row>11</xdr:row>
      <xdr:rowOff>0</xdr:rowOff>
    </xdr:to>
    <xdr:pic>
      <xdr:nvPicPr>
        <xdr:cNvPr id="37970" name="Picture 5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8192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12</xdr:row>
      <xdr:rowOff>0</xdr:rowOff>
    </xdr:from>
    <xdr:to>
      <xdr:col>8</xdr:col>
      <xdr:colOff>0</xdr:colOff>
      <xdr:row>12</xdr:row>
      <xdr:rowOff>0</xdr:rowOff>
    </xdr:to>
    <xdr:pic>
      <xdr:nvPicPr>
        <xdr:cNvPr id="37971" name="Picture 3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981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13</xdr:row>
      <xdr:rowOff>0</xdr:rowOff>
    </xdr:to>
    <xdr:pic>
      <xdr:nvPicPr>
        <xdr:cNvPr id="37972" name="Picture 1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2143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37973" name="Picture 23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36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pic>
      <xdr:nvPicPr>
        <xdr:cNvPr id="37974" name="Picture 21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5238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8</xdr:col>
      <xdr:colOff>0</xdr:colOff>
      <xdr:row>4</xdr:row>
      <xdr:rowOff>0</xdr:rowOff>
    </xdr:to>
    <xdr:pic>
      <xdr:nvPicPr>
        <xdr:cNvPr id="37975" name="Picture 19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685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pic>
      <xdr:nvPicPr>
        <xdr:cNvPr id="37976" name="Picture 17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pic>
      <xdr:nvPicPr>
        <xdr:cNvPr id="37977" name="Picture 15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009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pic>
      <xdr:nvPicPr>
        <xdr:cNvPr id="37978" name="Picture 13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171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pic>
      <xdr:nvPicPr>
        <xdr:cNvPr id="37979" name="Picture 11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333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0</xdr:rowOff>
    </xdr:to>
    <xdr:pic>
      <xdr:nvPicPr>
        <xdr:cNvPr id="37980" name="Picture 9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495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0</xdr:rowOff>
    </xdr:to>
    <xdr:pic>
      <xdr:nvPicPr>
        <xdr:cNvPr id="37981" name="Picture 7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657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11</xdr:row>
      <xdr:rowOff>0</xdr:rowOff>
    </xdr:from>
    <xdr:to>
      <xdr:col>8</xdr:col>
      <xdr:colOff>0</xdr:colOff>
      <xdr:row>11</xdr:row>
      <xdr:rowOff>0</xdr:rowOff>
    </xdr:to>
    <xdr:pic>
      <xdr:nvPicPr>
        <xdr:cNvPr id="37982" name="Picture 5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8192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12</xdr:row>
      <xdr:rowOff>0</xdr:rowOff>
    </xdr:from>
    <xdr:to>
      <xdr:col>8</xdr:col>
      <xdr:colOff>0</xdr:colOff>
      <xdr:row>12</xdr:row>
      <xdr:rowOff>0</xdr:rowOff>
    </xdr:to>
    <xdr:pic>
      <xdr:nvPicPr>
        <xdr:cNvPr id="37983" name="Picture 3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981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13</xdr:row>
      <xdr:rowOff>0</xdr:rowOff>
    </xdr:to>
    <xdr:pic>
      <xdr:nvPicPr>
        <xdr:cNvPr id="37984" name="Picture 1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2143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923925</xdr:colOff>
      <xdr:row>13</xdr:row>
      <xdr:rowOff>47625</xdr:rowOff>
    </xdr:from>
    <xdr:to>
      <xdr:col>14</xdr:col>
      <xdr:colOff>66675</xdr:colOff>
      <xdr:row>18</xdr:row>
      <xdr:rowOff>19050</xdr:rowOff>
    </xdr:to>
    <xdr:sp macro="" textlink="">
      <xdr:nvSpPr>
        <xdr:cNvPr id="21857" name="AutoShape 1"/>
        <xdr:cNvSpPr>
          <a:spLocks/>
        </xdr:cNvSpPr>
      </xdr:nvSpPr>
      <xdr:spPr bwMode="auto">
        <a:xfrm>
          <a:off x="10344150" y="2486025"/>
          <a:ext cx="76200" cy="781050"/>
        </a:xfrm>
        <a:prstGeom prst="rightBrace">
          <a:avLst>
            <a:gd name="adj1" fmla="val 8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96</xdr:row>
      <xdr:rowOff>57150</xdr:rowOff>
    </xdr:from>
    <xdr:to>
      <xdr:col>14</xdr:col>
      <xdr:colOff>76200</xdr:colOff>
      <xdr:row>101</xdr:row>
      <xdr:rowOff>19050</xdr:rowOff>
    </xdr:to>
    <xdr:sp macro="" textlink="">
      <xdr:nvSpPr>
        <xdr:cNvPr id="21858" name="AutoShape 2"/>
        <xdr:cNvSpPr>
          <a:spLocks/>
        </xdr:cNvSpPr>
      </xdr:nvSpPr>
      <xdr:spPr bwMode="auto">
        <a:xfrm>
          <a:off x="10353675" y="15963900"/>
          <a:ext cx="76200" cy="771525"/>
        </a:xfrm>
        <a:prstGeom prst="rightBrace">
          <a:avLst>
            <a:gd name="adj1" fmla="val 8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110</xdr:row>
      <xdr:rowOff>57150</xdr:rowOff>
    </xdr:from>
    <xdr:to>
      <xdr:col>14</xdr:col>
      <xdr:colOff>76200</xdr:colOff>
      <xdr:row>115</xdr:row>
      <xdr:rowOff>19050</xdr:rowOff>
    </xdr:to>
    <xdr:sp macro="" textlink="">
      <xdr:nvSpPr>
        <xdr:cNvPr id="21859" name="AutoShape 3"/>
        <xdr:cNvSpPr>
          <a:spLocks/>
        </xdr:cNvSpPr>
      </xdr:nvSpPr>
      <xdr:spPr bwMode="auto">
        <a:xfrm>
          <a:off x="10353675" y="18230850"/>
          <a:ext cx="76200" cy="771525"/>
        </a:xfrm>
        <a:prstGeom prst="rightBrace">
          <a:avLst>
            <a:gd name="adj1" fmla="val 8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904875</xdr:colOff>
      <xdr:row>79</xdr:row>
      <xdr:rowOff>28575</xdr:rowOff>
    </xdr:from>
    <xdr:to>
      <xdr:col>14</xdr:col>
      <xdr:colOff>47625</xdr:colOff>
      <xdr:row>83</xdr:row>
      <xdr:rowOff>114300</xdr:rowOff>
    </xdr:to>
    <xdr:sp macro="" textlink="">
      <xdr:nvSpPr>
        <xdr:cNvPr id="21860" name="AutoShape 4"/>
        <xdr:cNvSpPr>
          <a:spLocks/>
        </xdr:cNvSpPr>
      </xdr:nvSpPr>
      <xdr:spPr bwMode="auto">
        <a:xfrm>
          <a:off x="10325100" y="13182600"/>
          <a:ext cx="76200" cy="733425"/>
        </a:xfrm>
        <a:prstGeom prst="rightBrace">
          <a:avLst>
            <a:gd name="adj1" fmla="val 8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15</xdr:row>
      <xdr:rowOff>152400</xdr:rowOff>
    </xdr:from>
    <xdr:to>
      <xdr:col>3</xdr:col>
      <xdr:colOff>447675</xdr:colOff>
      <xdr:row>27</xdr:row>
      <xdr:rowOff>152400</xdr:rowOff>
    </xdr:to>
    <xdr:sp macro="" textlink="">
      <xdr:nvSpPr>
        <xdr:cNvPr id="4286" name="AutoShape 1"/>
        <xdr:cNvSpPr>
          <a:spLocks/>
        </xdr:cNvSpPr>
      </xdr:nvSpPr>
      <xdr:spPr bwMode="auto">
        <a:xfrm>
          <a:off x="3686175" y="2647950"/>
          <a:ext cx="438150" cy="1943100"/>
        </a:xfrm>
        <a:prstGeom prst="rightBrace">
          <a:avLst>
            <a:gd name="adj1" fmla="val 9705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/newgas/2000/Oct00/REVNEW0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New%20Plant-093003/FredDispatch%209.3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Jun_30_01/Proforma%20Adj_not%20us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46/Costs%20not%20in%20AURORA%2006GR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71/SOE%20Sept%20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Jun_30_99/Electric/cb06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apacity/CAP_WBook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NOT%20USED%20-%202007%20GRC/4.04G%20Pass%20Through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LaborInctvOH%200903%20G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6/09-06%20Elec_Unb%20(93%203%25%202%20months)fin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Forecast%20&amp;%20Variance/PCORC/RORC%20Filing/PC%20Summary%202004-2008%20Aurora%20+%20Not%20Auror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6%20GRC/2006%20GRC%20Original%20Filing/Models&amp;Adjs/1.06%20ALLOC%20METHO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EL%2009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05/3rd%20Quarter%202005/WC_RB%203Q2005/WC-RB%20Overvi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T/ENCOGEN_WBOOK%20(StratPlan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E3" t="str">
            <v>PAGE 3.02</v>
          </cell>
          <cell r="AJ3" t="str">
            <v>PAGE 2.16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25">
            <v>14</v>
          </cell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  <cell r="AF26">
            <v>15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PPXLOpen"/>
      <sheetName val="PPXLSaveData0"/>
      <sheetName val="Confidential"/>
      <sheetName val="List of Open Items"/>
      <sheetName val="Forecast Adjustment"/>
      <sheetName val="Prices"/>
      <sheetName val="Pt Roberts"/>
      <sheetName val="DA Wind"/>
      <sheetName val="Fred1"/>
      <sheetName val="Winter Summary"/>
      <sheetName val="Estimate for wheeling"/>
      <sheetName val="Peaking Capacity"/>
      <sheetName val="Winter Peak 2005-2006"/>
      <sheetName val="MiDC Capacity Calc"/>
      <sheetName val="Contract Price Adj"/>
      <sheetName val="Tenaska Gas Rev"/>
      <sheetName val="Nooksack"/>
      <sheetName val="Pt.Townsend"/>
      <sheetName val="PG&amp;E"/>
      <sheetName val="Coal 3&amp;4 compare"/>
      <sheetName val="Encogen"/>
      <sheetName val="Encogen-Aux Boiler"/>
      <sheetName val="Encogen Costs"/>
      <sheetName val="Encogen-Cabot Amort"/>
      <sheetName val="Encogen-CanWest Recov"/>
      <sheetName val="Douglas Stlmt"/>
      <sheetName val="557 TYE 9.30.05"/>
      <sheetName val="CPP_Payments 8.02.05"/>
      <sheetName val="BEP TYE9.30.05"/>
      <sheetName val="Wild Horse GRC"/>
      <sheetName val="Hopkins Ridge GRC"/>
      <sheetName val="Hopkins Ridge"/>
      <sheetName val="Mid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38315912.890000001</v>
          </cell>
          <cell r="D11">
            <v>38617570.920000002</v>
          </cell>
        </row>
        <row r="35">
          <cell r="B35">
            <v>3291140.23</v>
          </cell>
          <cell r="D35">
            <v>2850009.59</v>
          </cell>
        </row>
      </sheetData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ctual"/>
      <sheetName val="ROR"/>
      <sheetName val="Common Allocation"/>
      <sheetName val="Adjust Explanation"/>
      <sheetName val="model"/>
      <sheetName val="cost of debt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 refreshError="1"/>
      <sheetData sheetId="1" refreshError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</sheetNames>
    <sheetDataSet>
      <sheetData sheetId="0"/>
      <sheetData sheetId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1">
          <cell r="B11">
            <v>11862537</v>
          </cell>
        </row>
      </sheetData>
      <sheetData sheetId="28"/>
      <sheetData sheetId="29"/>
      <sheetData sheetId="30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06"/>
      <sheetName val="4Fact"/>
      <sheetName val="T&amp;D Vari Expl"/>
      <sheetName val="T&amp;D Vari Expl.Operat"/>
      <sheetName val="E&amp;G Plant"/>
      <sheetName val="BS"/>
      <sheetName val="IS"/>
      <sheetName val="IS.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  <sheetName val="AllocationMetho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odel"/>
      <sheetName val="Unit Cost"/>
      <sheetName val="Combined ROE Matrix"/>
      <sheetName val="ROE matrix"/>
      <sheetName val="Ex A-1 PCR"/>
      <sheetName val="Ex A-4 Prod Adj"/>
      <sheetName val="Ex A-5 PC"/>
      <sheetName val="ComparePCR"/>
      <sheetName val="557"/>
      <sheetName val="Production Adjustment"/>
      <sheetName val="Production Factor"/>
      <sheetName val="2.03E"/>
      <sheetName val="Pwr Csts"/>
      <sheetName val="GRC"/>
      <sheetName val="Prodn OM by Resource GRC"/>
      <sheetName val="TransmRev"/>
      <sheetName val="EB&amp;Taxes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  <sheetName val="Compone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EWC"/>
      <sheetName val="ERB"/>
      <sheetName val="GWC"/>
      <sheetName val="GRB"/>
      <sheetName val="BS"/>
      <sheetName val="BS C&amp;L"/>
      <sheetName val="Recon Rgltry to Fin BS"/>
      <sheetName val="Recon"/>
      <sheetName val="Recon (2)"/>
      <sheetName val="Recon (3)"/>
      <sheetName val="Recon (3) Detail"/>
      <sheetName val="200309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D5" t="str">
            <v>Yes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1.xml"/><Relationship Id="rId3" Type="http://schemas.openxmlformats.org/officeDocument/2006/relationships/revisionLog" Target="revisionLog111.xml"/><Relationship Id="rId7" Type="http://schemas.openxmlformats.org/officeDocument/2006/relationships/revisionLog" Target="revisionLog12.xml"/><Relationship Id="rId12" Type="http://schemas.openxmlformats.org/officeDocument/2006/relationships/revisionLog" Target="revisionLog1.xml"/><Relationship Id="rId2" Type="http://schemas.openxmlformats.org/officeDocument/2006/relationships/revisionLog" Target="revisionLog1111.xml"/><Relationship Id="rId1" Type="http://schemas.openxmlformats.org/officeDocument/2006/relationships/revisionLog" Target="revisionLog11111.xml"/><Relationship Id="rId6" Type="http://schemas.openxmlformats.org/officeDocument/2006/relationships/revisionLog" Target="revisionLog121.xml"/><Relationship Id="rId11" Type="http://schemas.openxmlformats.org/officeDocument/2006/relationships/revisionLog" Target="revisionLog13.xml"/><Relationship Id="rId5" Type="http://schemas.openxmlformats.org/officeDocument/2006/relationships/revisionLog" Target="revisionLog1211.xml"/><Relationship Id="rId10" Type="http://schemas.openxmlformats.org/officeDocument/2006/relationships/revisionLog" Target="revisionLog131.xml"/><Relationship Id="rId4" Type="http://schemas.openxmlformats.org/officeDocument/2006/relationships/revisionLog" Target="revisionLog12111.xml"/><Relationship Id="rId9" Type="http://schemas.openxmlformats.org/officeDocument/2006/relationships/revisionLog" Target="revisionLog1311.xml"/></Relationships>
</file>

<file path=xl/revisions/revisionHeaders.xml><?xml version="1.0" encoding="utf-8"?>
<headers xmlns="http://schemas.openxmlformats.org/spreadsheetml/2006/main" xmlns:r="http://schemas.openxmlformats.org/officeDocument/2006/relationships" guid="{B009A218-95B7-4343-861E-74DCEDF491A2}" diskRevisions="1" revisionId="58" version="7">
  <header guid="{912993AA-E862-4AD6-B1F5-8F561D151813}" dateTime="2009-11-23T08:32:18" maxSheetId="10" userName="Michael Foisy" r:id="rId1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2FEA00E9-0697-4400-9AA8-136D12EA1FBD}" dateTime="2009-11-23T08:37:00" maxSheetId="10" userName="Michael Foisy" r:id="rId2" minRId="1" maxRId="3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E6088345-3478-438A-B33F-0A2A9924636D}" dateTime="2009-11-23T08:48:09" maxSheetId="10" userName="Michael Foisy" r:id="rId3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CDBA82E5-8651-499F-8478-FD803C8919CB}" dateTime="2009-11-23T09:06:27" maxSheetId="10" userName="Michael Foisy" r:id="rId4" minRId="9" maxRId="11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813658A1-9725-45E1-A689-4F1E96BC3ADD}" dateTime="2009-11-23T09:33:57" maxSheetId="10" userName="Michael Foisy" r:id="rId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988191D4-E445-4784-A060-E9EE3CE41245}" dateTime="2009-11-23T09:35:55" maxSheetId="10" userName="Michael Foisy" r:id="rId6" minRId="22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A466C82F-04A0-44C5-AC15-E59B1BECCD10}" dateTime="2009-11-23T09:38:33" maxSheetId="10" userName="Michael Foisy" r:id="rId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C3766E82-78E1-4674-B239-E7054E6116D2}" dateTime="2009-11-23T09:41:58" maxSheetId="10" userName="Michael Foisy" r:id="rId8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2C5CB454-FBF6-4247-B63C-4BD7E352B2B7}" dateTime="2009-11-23T09:42:19" maxSheetId="10" userName="Michael Foisy" r:id="rId9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FA85D7C4-C336-4B57-875C-0B2C35ECC41E}" dateTime="2009-11-23T09:42:41" maxSheetId="10" userName="Michael Foisy" r:id="rId10" minRId="43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E1F2CD11-8B54-4326-91B3-34C1BD116752}" dateTime="2009-11-23T09:42:49" maxSheetId="10" userName="Michael Foisy" r:id="rId11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B009A218-95B7-4343-861E-74DCEDF491A2}" dateTime="2009-11-23T10:08:01" maxSheetId="10" userName="Krista Gross" r:id="rId12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fmt sheetId="9" sqref="G14" start="0" length="2147483647">
    <dxf>
      <font>
        <i/>
      </font>
    </dxf>
  </rfmt>
  <rfmt sheetId="9" sqref="H14" start="0" length="2147483647">
    <dxf>
      <font>
        <i/>
      </font>
    </dxf>
  </rfmt>
  <rfmt sheetId="9" sqref="G15" start="0" length="2147483647">
    <dxf>
      <font>
        <i/>
      </font>
    </dxf>
  </rfmt>
  <rfmt sheetId="9" sqref="H15" start="0" length="2147483647">
    <dxf>
      <font>
        <i/>
      </font>
    </dxf>
  </rfmt>
  <rfmt sheetId="9" sqref="G14:H15" start="0" length="2147483647">
    <dxf>
      <font>
        <b/>
      </font>
    </dxf>
  </rfmt>
  <rdn rId="0" localSheetId="1" customView="1" name="Z_6DB0C51A_CF2E_4524_B123_6AE855E84E26_.wvu.PrintArea" hidden="1" oldHidden="1">
    <formula>'Exhibit 2'!$A$1:$H$39</formula>
  </rdn>
  <rdn rId="0" localSheetId="1" customView="1" name="Z_6DB0C51A_CF2E_4524_B123_6AE855E84E26_.wvu.Cols" hidden="1" oldHidden="1">
    <formula>'Exhibit 2'!$C:$C</formula>
  </rdn>
  <rdn rId="0" localSheetId="2" customView="1" name="Z_6DB0C51A_CF2E_4524_B123_6AE855E84E26_.wvu.Cols" hidden="1" oldHidden="1">
    <formula>REs.Exc.Pr!$J:$J</formula>
  </rdn>
  <rdn rId="0" localSheetId="9" customView="1" name="Z_6DB0C51A_CF2E_4524_B123_6AE855E84E26_.wvu.PrintArea" hidden="1" oldHidden="1">
    <formula>'Exhibit 3'!$A$1:$H$39</formula>
  </rdn>
  <rdn rId="0" localSheetId="9" customView="1" name="Z_6DB0C51A_CF2E_4524_B123_6AE855E84E26_.wvu.Cols" hidden="1" oldHidden="1">
    <formula>'Exhibit 3'!$C:$C</formula>
  </rdn>
  <rcv guid="{6DB0C51A-CF2E-4524-B123-6AE855E84E26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fmt sheetId="9" sqref="G15:H15" start="0" length="2147483647">
    <dxf>
      <font>
        <color theme="4"/>
      </font>
    </dxf>
  </rfmt>
  <rfmt sheetId="9" sqref="H14" start="0" length="2147483647">
    <dxf>
      <font>
        <color theme="4"/>
      </font>
    </dxf>
  </rfmt>
  <rfmt sheetId="9" sqref="H30:H33" start="0" length="2147483647">
    <dxf>
      <font>
        <color theme="4"/>
      </font>
    </dxf>
  </rfmt>
  <rcv guid="{D9FD7722-CADB-4741-856E-53C9C7AFA1D2}" action="delete"/>
  <rdn rId="0" localSheetId="1" customView="1" name="Z_D9FD7722_CADB_4741_856E_53C9C7AFA1D2_.wvu.PrintArea" hidden="1" oldHidden="1">
    <formula>'Exhibit 2'!$A$1:$H$39</formula>
    <oldFormula>'Exhibit 2'!$A$1:$H$39</oldFormula>
  </rdn>
  <rdn rId="0" localSheetId="1" customView="1" name="Z_D9FD7722_CADB_4741_856E_53C9C7AFA1D2_.wvu.Cols" hidden="1" oldHidden="1">
    <formula>'Exhibit 2'!$C:$C</formula>
    <oldFormula>'Exhibit 2'!$C:$C</oldFormula>
  </rdn>
  <rdn rId="0" localSheetId="2" customView="1" name="Z_D9FD7722_CADB_4741_856E_53C9C7AFA1D2_.wvu.Cols" hidden="1" oldHidden="1">
    <formula>REs.Exc.Pr!$J:$J</formula>
    <oldFormula>REs.Exc.Pr!$J:$J</oldFormula>
  </rdn>
  <rdn rId="0" localSheetId="9" customView="1" name="Z_D9FD7722_CADB_4741_856E_53C9C7AFA1D2_.wvu.PrintArea" hidden="1" oldHidden="1">
    <formula>'Exhibit 3'!$A$1:$H$39</formula>
    <oldFormula>'Exhibit 3'!$A$1:$H$39</oldFormula>
  </rdn>
  <rdn rId="0" localSheetId="9" customView="1" name="Z_D9FD7722_CADB_4741_856E_53C9C7AFA1D2_.wvu.Cols" hidden="1" oldHidden="1">
    <formula>'Exhibit 3'!$C:$C</formula>
    <oldFormula>'Exhibit 3'!$C:$C</oldFormula>
  </rdn>
  <rcv guid="{D9FD7722-CADB-4741-856E-53C9C7AFA1D2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v guid="{D9FD7722-CADB-4741-856E-53C9C7AFA1D2}" action="delete"/>
  <rdn rId="0" localSheetId="1" customView="1" name="Z_D9FD7722_CADB_4741_856E_53C9C7AFA1D2_.wvu.PrintArea" hidden="1" oldHidden="1">
    <formula>'Exhibit 2'!$A$1:$H$39</formula>
    <oldFormula>'Exhibit 2'!$A$1:$H$39</oldFormula>
  </rdn>
  <rdn rId="0" localSheetId="1" customView="1" name="Z_D9FD7722_CADB_4741_856E_53C9C7AFA1D2_.wvu.Cols" hidden="1" oldHidden="1">
    <formula>'Exhibit 2'!$C:$C</formula>
    <oldFormula>'Exhibit 2'!$C:$C</oldFormula>
  </rdn>
  <rdn rId="0" localSheetId="2" customView="1" name="Z_D9FD7722_CADB_4741_856E_53C9C7AFA1D2_.wvu.Cols" hidden="1" oldHidden="1">
    <formula>REs.Exc.Pr!$J:$J</formula>
    <oldFormula>REs.Exc.Pr!$J:$J</oldFormula>
  </rdn>
  <rdn rId="0" localSheetId="9" customView="1" name="Z_D9FD7722_CADB_4741_856E_53C9C7AFA1D2_.wvu.PrintArea" hidden="1" oldHidden="1">
    <formula>'Exhibit 3'!$A$1:$I$39</formula>
    <oldFormula>'Exhibit 3'!$A$1:$I$39</oldFormula>
  </rdn>
  <rdn rId="0" localSheetId="9" customView="1" name="Z_D9FD7722_CADB_4741_856E_53C9C7AFA1D2_.wvu.Cols" hidden="1" oldHidden="1">
    <formula>'Exhibit 3'!$C:$C</formula>
    <oldFormula>'Exhibit 3'!$C:$C</oldFormula>
  </rdn>
  <rcv guid="{D9FD7722-CADB-4741-856E-53C9C7AFA1D2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1" sId="9" numFmtId="4">
    <oc r="G14">
      <v>1017765</v>
    </oc>
    <nc r="G14">
      <v>557235</v>
    </nc>
  </rcc>
  <rrc rId="2" sId="9" ref="H1:H1048576" action="insertCol"/>
  <rcc rId="3" sId="9" numFmtId="4">
    <nc r="H14">
      <v>1017765</v>
    </nc>
  </rcc>
  <rcmt sheetId="9" cell="G14" guid="{4154ED4E-6259-4D34-89C5-660BDE39A7F3}" alwaysShow="1" author="Michael Foisy" newLength="44"/>
  <rcmt sheetId="9" cell="H14" guid="{7AB2A8BC-472A-4B86-9207-1536F924BBD4}" alwaysShow="1" author="Michael Foisy" newLength="55"/>
</revisions>
</file>

<file path=xl/revisions/revisionLog11111.xml><?xml version="1.0" encoding="utf-8"?>
<revisions xmlns="http://schemas.openxmlformats.org/spreadsheetml/2006/main" xmlns:r="http://schemas.openxmlformats.org/officeDocument/2006/relationships"/>
</file>

<file path=xl/revisions/revisionLog12.xml><?xml version="1.0" encoding="utf-8"?>
<revisions xmlns="http://schemas.openxmlformats.org/spreadsheetml/2006/main" xmlns:r="http://schemas.openxmlformats.org/officeDocument/2006/relationships">
  <rcv guid="{D9FD7722-CADB-4741-856E-53C9C7AFA1D2}" action="delete"/>
  <rdn rId="0" localSheetId="1" customView="1" name="Z_D9FD7722_CADB_4741_856E_53C9C7AFA1D2_.wvu.PrintArea" hidden="1" oldHidden="1">
    <formula>'Exhibit 2'!$A$1:$H$39</formula>
    <oldFormula>'Exhibit 2'!$A$1:$H$39</oldFormula>
  </rdn>
  <rdn rId="0" localSheetId="1" customView="1" name="Z_D9FD7722_CADB_4741_856E_53C9C7AFA1D2_.wvu.Cols" hidden="1" oldHidden="1">
    <formula>'Exhibit 2'!$C:$C</formula>
    <oldFormula>'Exhibit 2'!$C:$C</oldFormula>
  </rdn>
  <rdn rId="0" localSheetId="2" customView="1" name="Z_D9FD7722_CADB_4741_856E_53C9C7AFA1D2_.wvu.Cols" hidden="1" oldHidden="1">
    <formula>REs.Exc.Pr!$J:$J</formula>
    <oldFormula>REs.Exc.Pr!$J:$J</oldFormula>
  </rdn>
  <rdn rId="0" localSheetId="9" customView="1" name="Z_D9FD7722_CADB_4741_856E_53C9C7AFA1D2_.wvu.PrintArea" hidden="1" oldHidden="1">
    <formula>'Exhibit 3'!$A$1:$H$39</formula>
    <oldFormula>'Exhibit 3'!$A$1:$H$39</oldFormula>
  </rdn>
  <rdn rId="0" localSheetId="9" customView="1" name="Z_D9FD7722_CADB_4741_856E_53C9C7AFA1D2_.wvu.Cols" hidden="1" oldHidden="1">
    <formula>'Exhibit 3'!$C:$C</formula>
    <oldFormula>'Exhibit 3'!$C:$C</oldFormula>
  </rdn>
  <rcv guid="{D9FD7722-CADB-4741-856E-53C9C7AFA1D2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fmt sheetId="9" sqref="D10:G10" start="0" length="0">
    <dxf>
      <border>
        <bottom style="thin">
          <color indexed="64"/>
        </bottom>
      </border>
    </dxf>
  </rfmt>
  <rrc rId="22" sId="9" ref="D1:D1048576" action="insertCol"/>
  <rcv guid="{D9FD7722-CADB-4741-856E-53C9C7AFA1D2}" action="delete"/>
  <rdn rId="0" localSheetId="1" customView="1" name="Z_D9FD7722_CADB_4741_856E_53C9C7AFA1D2_.wvu.PrintArea" hidden="1" oldHidden="1">
    <formula>'Exhibit 2'!$A$1:$H$39</formula>
    <oldFormula>'Exhibit 2'!$A$1:$H$39</oldFormula>
  </rdn>
  <rdn rId="0" localSheetId="1" customView="1" name="Z_D9FD7722_CADB_4741_856E_53C9C7AFA1D2_.wvu.Cols" hidden="1" oldHidden="1">
    <formula>'Exhibit 2'!$C:$C</formula>
    <oldFormula>'Exhibit 2'!$C:$C</oldFormula>
  </rdn>
  <rdn rId="0" localSheetId="2" customView="1" name="Z_D9FD7722_CADB_4741_856E_53C9C7AFA1D2_.wvu.Cols" hidden="1" oldHidden="1">
    <formula>REs.Exc.Pr!$J:$J</formula>
    <oldFormula>REs.Exc.Pr!$J:$J</oldFormula>
  </rdn>
  <rdn rId="0" localSheetId="9" customView="1" name="Z_D9FD7722_CADB_4741_856E_53C9C7AFA1D2_.wvu.PrintArea" hidden="1" oldHidden="1">
    <formula>'Exhibit 3'!$A$1:$H$39</formula>
    <oldFormula>'Exhibit 3'!$A$1:$H$39</oldFormula>
  </rdn>
  <rdn rId="0" localSheetId="9" customView="1" name="Z_D9FD7722_CADB_4741_856E_53C9C7AFA1D2_.wvu.Cols" hidden="1" oldHidden="1">
    <formula>'Exhibit 3'!$C:$C</formula>
    <oldFormula>'Exhibit 3'!$C:$C</oldFormula>
  </rdn>
  <rcv guid="{D9FD7722-CADB-4741-856E-53C9C7AFA1D2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fmt sheetId="9" sqref="F14" start="0" length="2147483647">
    <dxf>
      <font>
        <color rgb="FFFF0000"/>
      </font>
    </dxf>
  </rfmt>
  <rfmt sheetId="9" sqref="G14:G15" start="0" length="2147483647">
    <dxf>
      <font>
        <color rgb="FFFF0000"/>
      </font>
    </dxf>
  </rfmt>
  <rfmt sheetId="9" sqref="F15" start="0" length="2147483647">
    <dxf>
      <font>
        <color rgb="FFFF0000"/>
      </font>
    </dxf>
  </rfmt>
  <rfmt sheetId="9" sqref="G30:G33" start="0" length="2147483647">
    <dxf>
      <font>
        <color rgb="FFFF0000"/>
      </font>
    </dxf>
  </rfmt>
  <rcv guid="{D9FD7722-CADB-4741-856E-53C9C7AFA1D2}" action="delete"/>
  <rdn rId="0" localSheetId="1" customView="1" name="Z_D9FD7722_CADB_4741_856E_53C9C7AFA1D2_.wvu.PrintArea" hidden="1" oldHidden="1">
    <formula>'Exhibit 2'!$A$1:$H$39</formula>
    <oldFormula>'Exhibit 2'!$A$1:$H$39</oldFormula>
  </rdn>
  <rdn rId="0" localSheetId="1" customView="1" name="Z_D9FD7722_CADB_4741_856E_53C9C7AFA1D2_.wvu.Cols" hidden="1" oldHidden="1">
    <formula>'Exhibit 2'!$C:$C</formula>
    <oldFormula>'Exhibit 2'!$C:$C</oldFormula>
  </rdn>
  <rdn rId="0" localSheetId="2" customView="1" name="Z_D9FD7722_CADB_4741_856E_53C9C7AFA1D2_.wvu.Cols" hidden="1" oldHidden="1">
    <formula>REs.Exc.Pr!$J:$J</formula>
    <oldFormula>REs.Exc.Pr!$J:$J</oldFormula>
  </rdn>
  <rdn rId="0" localSheetId="9" customView="1" name="Z_D9FD7722_CADB_4741_856E_53C9C7AFA1D2_.wvu.PrintArea" hidden="1" oldHidden="1">
    <formula>'Exhibit 3'!$A$1:$G$39</formula>
    <oldFormula>'Exhibit 3'!$A$1:$G$39</oldFormula>
  </rdn>
  <rdn rId="0" localSheetId="9" customView="1" name="Z_D9FD7722_CADB_4741_856E_53C9C7AFA1D2_.wvu.Cols" hidden="1" oldHidden="1">
    <formula>'Exhibit 3'!$C:$C</formula>
    <oldFormula>'Exhibit 3'!$C:$C</oldFormula>
  </rdn>
  <rcv guid="{D9FD7722-CADB-4741-856E-53C9C7AFA1D2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mt sheetId="9" cell="H14" guid="{00000000-0000-0000-0000-000000000000}" action="delete" alwaysShow="1" author="Michael Foisy"/>
  <rcmt sheetId="9" cell="G14" guid="{00000000-0000-0000-0000-000000000000}" action="delete" alwaysShow="1" author="Michael Foisy"/>
  <rrc rId="9" sId="9" ref="H1:H1048576" action="deleteCol">
    <rfmt sheetId="9" xfDxf="1" sqref="H1:H1048576" start="0" length="0">
      <dxf>
        <font>
          <name val="Times New Roman"/>
          <scheme val="none"/>
        </font>
        <numFmt numFmtId="5" formatCode="#,##0_);\(#,##0\)"/>
      </dxf>
    </rfmt>
    <rfmt sheetId="9" sqref="H5" start="0" length="0">
      <dxf>
        <font>
          <sz val="10"/>
          <color auto="1"/>
          <name val="Arial"/>
          <scheme val="none"/>
        </font>
        <numFmt numFmtId="0" formatCode="General"/>
        <alignment vertical="top" mergeCell="1" readingOrder="0"/>
      </dxf>
    </rfmt>
    <rfmt sheetId="9" sqref="H6" start="0" length="0">
      <dxf>
        <font>
          <sz val="10"/>
          <color auto="1"/>
          <name val="Arial"/>
          <scheme val="none"/>
        </font>
        <numFmt numFmtId="0" formatCode="General"/>
        <alignment horizontal="center" vertical="top" mergeCell="1" readingOrder="0"/>
      </dxf>
    </rfmt>
    <rfmt sheetId="9" sqref="H8" start="0" length="0">
      <dxf>
        <font>
          <b/>
          <name val="Times New Roman"/>
          <scheme val="none"/>
        </font>
        <alignment horizontal="center" vertical="top" readingOrder="0"/>
      </dxf>
    </rfmt>
    <rfmt sheetId="9" sqref="H10" start="0" length="0">
      <dxf>
        <font>
          <b/>
          <name val="Times New Roman"/>
          <scheme val="none"/>
        </font>
        <alignment horizontal="center" vertical="top" wrapText="1" readingOrder="0"/>
      </dxf>
    </rfmt>
    <rcc rId="0" sId="9" dxf="1" numFmtId="4">
      <nc r="H14">
        <v>1017765</v>
      </nc>
      <ndxf>
        <border outline="0">
          <bottom style="thin">
            <color indexed="64"/>
          </bottom>
        </border>
      </ndxf>
    </rcc>
    <rfmt sheetId="9" sqref="H18" start="0" length="0">
      <dxf>
        <border outline="0">
          <bottom style="thin">
            <color indexed="64"/>
          </bottom>
        </border>
      </dxf>
    </rfmt>
    <rfmt sheetId="9" sqref="H27" start="0" length="0">
      <dxf>
        <border outline="0">
          <bottom style="thin">
            <color indexed="64"/>
          </bottom>
        </border>
      </dxf>
    </rfmt>
  </rrc>
  <rrc rId="10" sId="9" ref="D1:D1048576" action="deleteCol">
    <rfmt sheetId="9" xfDxf="1" sqref="D1:D1048576" start="0" length="0">
      <dxf>
        <font>
          <name val="Times New Roman"/>
          <scheme val="none"/>
        </font>
      </dxf>
    </rfmt>
    <rfmt sheetId="9" sqref="D5" start="0" length="0">
      <dxf>
        <font>
          <sz val="10"/>
          <color auto="1"/>
          <name val="Arial"/>
          <scheme val="none"/>
        </font>
        <alignment vertical="top" mergeCell="1" readingOrder="0"/>
      </dxf>
    </rfmt>
    <rfmt sheetId="9" sqref="D6" start="0" length="0">
      <dxf>
        <font>
          <sz val="10"/>
          <color auto="1"/>
          <name val="Arial"/>
          <scheme val="none"/>
        </font>
        <alignment horizontal="center" vertical="top" mergeCell="1" readingOrder="0"/>
      </dxf>
    </rfmt>
    <rfmt sheetId="9" sqref="D10" start="0" length="0">
      <dxf>
        <alignment vertical="top" wrapText="1" readingOrder="0"/>
      </dxf>
    </rfmt>
    <rfmt sheetId="9" sqref="D19" start="0" length="0">
      <dxf>
        <font>
          <b/>
          <color indexed="10"/>
          <name val="Times New Roman"/>
          <scheme val="none"/>
        </font>
      </dxf>
    </rfmt>
    <rfmt sheetId="9" sqref="D23" start="0" length="0">
      <dxf>
        <font>
          <b/>
          <color indexed="10"/>
          <name val="Times New Roman"/>
          <scheme val="none"/>
        </font>
      </dxf>
    </rfmt>
    <rfmt sheetId="9" sqref="D24" start="0" length="0">
      <dxf>
        <font>
          <b/>
          <color indexed="10"/>
          <name val="Times New Roman"/>
          <scheme val="none"/>
        </font>
      </dxf>
    </rfmt>
    <rfmt sheetId="9" sqref="D25" start="0" length="0">
      <dxf>
        <numFmt numFmtId="164" formatCode="_(* #,##0_);_(* \(#,##0\);_(* &quot;-&quot;??_);_(@_)"/>
      </dxf>
    </rfmt>
    <rfmt sheetId="9" sqref="D26" start="0" length="0">
      <dxf>
        <font>
          <b/>
          <color indexed="10"/>
          <name val="Times New Roman"/>
          <scheme val="none"/>
        </font>
      </dxf>
    </rfmt>
  </rrc>
  <rcc rId="11" sId="9" numFmtId="4">
    <oc r="F15">
      <v>1017765</v>
    </oc>
    <nc r="F15">
      <f>SUM(D15:E15)</f>
    </nc>
  </rcc>
  <rcv guid="{D9FD7722-CADB-4741-856E-53C9C7AFA1D2}" action="delete"/>
  <rdn rId="0" localSheetId="1" customView="1" name="Z_D9FD7722_CADB_4741_856E_53C9C7AFA1D2_.wvu.PrintArea" hidden="1" oldHidden="1">
    <formula>'Exhibit 2'!$A$1:$H$39</formula>
    <oldFormula>'Exhibit 2'!$A$1:$H$39</oldFormula>
  </rdn>
  <rdn rId="0" localSheetId="1" customView="1" name="Z_D9FD7722_CADB_4741_856E_53C9C7AFA1D2_.wvu.Cols" hidden="1" oldHidden="1">
    <formula>'Exhibit 2'!$C:$C</formula>
    <oldFormula>'Exhibit 2'!$C:$C</oldFormula>
  </rdn>
  <rdn rId="0" localSheetId="2" customView="1" name="Z_D9FD7722_CADB_4741_856E_53C9C7AFA1D2_.wvu.Cols" hidden="1" oldHidden="1">
    <formula>REs.Exc.Pr!$J:$J</formula>
    <oldFormula>REs.Exc.Pr!$J:$J</oldFormula>
  </rdn>
  <rdn rId="0" localSheetId="9" customView="1" name="Z_D9FD7722_CADB_4741_856E_53C9C7AFA1D2_.wvu.PrintArea" hidden="1" oldHidden="1">
    <formula>'Exhibit 3'!$A$1:$G$39</formula>
    <oldFormula>'Exhibit 3'!$A$1:$G$39</oldFormula>
  </rdn>
  <rdn rId="0" localSheetId="9" customView="1" name="Z_D9FD7722_CADB_4741_856E_53C9C7AFA1D2_.wvu.Cols" hidden="1" oldHidden="1">
    <formula>'Exhibit 3'!$C:$C</formula>
    <oldFormula>'Exhibit 3'!$C:$C</oldFormula>
  </rdn>
  <rcv guid="{D9FD7722-CADB-4741-856E-53C9C7AFA1D2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v guid="{D9FD7722-CADB-4741-856E-53C9C7AFA1D2}" action="delete"/>
  <rdn rId="0" localSheetId="1" customView="1" name="Z_D9FD7722_CADB_4741_856E_53C9C7AFA1D2_.wvu.PrintArea" hidden="1" oldHidden="1">
    <formula>'Exhibit 2'!$A$1:$H$39</formula>
    <oldFormula>'Exhibit 2'!$A$1:$H$39</oldFormula>
  </rdn>
  <rdn rId="0" localSheetId="1" customView="1" name="Z_D9FD7722_CADB_4741_856E_53C9C7AFA1D2_.wvu.Cols" hidden="1" oldHidden="1">
    <formula>'Exhibit 2'!$C:$C</formula>
    <oldFormula>'Exhibit 2'!$C:$C</oldFormula>
  </rdn>
  <rdn rId="0" localSheetId="2" customView="1" name="Z_D9FD7722_CADB_4741_856E_53C9C7AFA1D2_.wvu.Cols" hidden="1" oldHidden="1">
    <formula>REs.Exc.Pr!$J:$J</formula>
    <oldFormula>REs.Exc.Pr!$J:$J</oldFormula>
  </rdn>
  <rdn rId="0" localSheetId="9" customView="1" name="Z_D9FD7722_CADB_4741_856E_53C9C7AFA1D2_.wvu.PrintArea" hidden="1" oldHidden="1">
    <formula>'Exhibit 3'!$A$1:$H$39</formula>
    <oldFormula>'Exhibit 3'!$A$1:$H$39</oldFormula>
  </rdn>
  <rdn rId="0" localSheetId="9" customView="1" name="Z_D9FD7722_CADB_4741_856E_53C9C7AFA1D2_.wvu.Cols" hidden="1" oldHidden="1">
    <formula>'Exhibit 3'!$C:$C</formula>
    <oldFormula>'Exhibit 3'!$C:$C</oldFormula>
  </rdn>
  <rcv guid="{D9FD7722-CADB-4741-856E-53C9C7AFA1D2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43" sId="9">
    <oc r="A6" t="inlineStr">
      <is>
        <t>9.09G Gas</t>
      </is>
    </oc>
    <nc r="A6" t="inlineStr">
      <is>
        <t>9.09 Gas</t>
      </is>
    </nc>
  </rcc>
  <rcv guid="{D9FD7722-CADB-4741-856E-53C9C7AFA1D2}" action="delete"/>
  <rdn rId="0" localSheetId="1" customView="1" name="Z_D9FD7722_CADB_4741_856E_53C9C7AFA1D2_.wvu.PrintArea" hidden="1" oldHidden="1">
    <formula>'Exhibit 2'!$A$1:$H$39</formula>
    <oldFormula>'Exhibit 2'!$A$1:$H$39</oldFormula>
  </rdn>
  <rdn rId="0" localSheetId="1" customView="1" name="Z_D9FD7722_CADB_4741_856E_53C9C7AFA1D2_.wvu.Cols" hidden="1" oldHidden="1">
    <formula>'Exhibit 2'!$C:$C</formula>
    <oldFormula>'Exhibit 2'!$C:$C</oldFormula>
  </rdn>
  <rdn rId="0" localSheetId="2" customView="1" name="Z_D9FD7722_CADB_4741_856E_53C9C7AFA1D2_.wvu.Cols" hidden="1" oldHidden="1">
    <formula>REs.Exc.Pr!$J:$J</formula>
    <oldFormula>REs.Exc.Pr!$J:$J</oldFormula>
  </rdn>
  <rdn rId="0" localSheetId="9" customView="1" name="Z_D9FD7722_CADB_4741_856E_53C9C7AFA1D2_.wvu.PrintArea" hidden="1" oldHidden="1">
    <formula>'Exhibit 3'!$A$1:$H$39</formula>
    <oldFormula>'Exhibit 3'!$A$1:$H$39</oldFormula>
  </rdn>
  <rdn rId="0" localSheetId="9" customView="1" name="Z_D9FD7722_CADB_4741_856E_53C9C7AFA1D2_.wvu.Cols" hidden="1" oldHidden="1">
    <formula>'Exhibit 3'!$C:$C</formula>
    <oldFormula>'Exhibit 3'!$C:$C</oldFormula>
  </rdn>
  <rcv guid="{D9FD7722-CADB-4741-856E-53C9C7AFA1D2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v guid="{D9FD7722-CADB-4741-856E-53C9C7AFA1D2}" action="delete"/>
  <rdn rId="0" localSheetId="1" customView="1" name="Z_D9FD7722_CADB_4741_856E_53C9C7AFA1D2_.wvu.PrintArea" hidden="1" oldHidden="1">
    <formula>'Exhibit 2'!$A$1:$H$39</formula>
    <oldFormula>'Exhibit 2'!$A$1:$H$39</oldFormula>
  </rdn>
  <rdn rId="0" localSheetId="1" customView="1" name="Z_D9FD7722_CADB_4741_856E_53C9C7AFA1D2_.wvu.Cols" hidden="1" oldHidden="1">
    <formula>'Exhibit 2'!$C:$C</formula>
    <oldFormula>'Exhibit 2'!$C:$C</oldFormula>
  </rdn>
  <rdn rId="0" localSheetId="2" customView="1" name="Z_D9FD7722_CADB_4741_856E_53C9C7AFA1D2_.wvu.Cols" hidden="1" oldHidden="1">
    <formula>REs.Exc.Pr!$J:$J</formula>
    <oldFormula>REs.Exc.Pr!$J:$J</oldFormula>
  </rdn>
  <rdn rId="0" localSheetId="9" customView="1" name="Z_D9FD7722_CADB_4741_856E_53C9C7AFA1D2_.wvu.PrintArea" hidden="1" oldHidden="1">
    <formula>'Exhibit 3'!$A$1:$H$39</formula>
    <oldFormula>'Exhibit 3'!$A$1:$H$39</oldFormula>
  </rdn>
  <rdn rId="0" localSheetId="9" customView="1" name="Z_D9FD7722_CADB_4741_856E_53C9C7AFA1D2_.wvu.Cols" hidden="1" oldHidden="1">
    <formula>'Exhibit 3'!$C:$C</formula>
    <oldFormula>'Exhibit 3'!$C:$C</oldFormula>
  </rdn>
  <rcv guid="{D9FD7722-CADB-4741-856E-53C9C7AFA1D2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988191D4-E445-4784-A060-E9EE3CE41245}" name="Michael Foisy" id="-1584100549" dateTime="2009-11-23T09:38:33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42"/>
  <sheetViews>
    <sheetView workbookViewId="0">
      <selection activeCell="B16" sqref="B16"/>
    </sheetView>
  </sheetViews>
  <sheetFormatPr defaultRowHeight="12.75"/>
  <cols>
    <col min="1" max="1" width="5.85546875" style="3" customWidth="1"/>
    <col min="2" max="2" width="68.5703125" style="3" customWidth="1"/>
    <col min="3" max="3" width="16" style="3" hidden="1" customWidth="1"/>
    <col min="4" max="4" width="10.28515625" style="3" bestFit="1" customWidth="1"/>
    <col min="5" max="5" width="11" style="171" customWidth="1"/>
    <col min="6" max="6" width="12.28515625" style="171" customWidth="1"/>
    <col min="7" max="7" width="10" style="171" bestFit="1" customWidth="1"/>
    <col min="8" max="8" width="13.28515625" style="172" bestFit="1" customWidth="1"/>
    <col min="9" max="16384" width="9.140625" style="3"/>
  </cols>
  <sheetData>
    <row r="1" spans="1:8">
      <c r="A1" s="209" t="s">
        <v>935</v>
      </c>
      <c r="B1" s="209"/>
      <c r="C1" s="209"/>
      <c r="G1" s="205" t="s">
        <v>941</v>
      </c>
      <c r="H1" s="203"/>
    </row>
    <row r="2" spans="1:8">
      <c r="A2" s="209" t="s">
        <v>936</v>
      </c>
      <c r="B2" s="209"/>
      <c r="C2" s="209"/>
      <c r="G2" s="203" t="s">
        <v>939</v>
      </c>
      <c r="H2" s="203"/>
    </row>
    <row r="3" spans="1:8">
      <c r="A3" s="209" t="s">
        <v>937</v>
      </c>
      <c r="B3" s="209"/>
      <c r="C3" s="209"/>
    </row>
    <row r="4" spans="1:8">
      <c r="A4" s="169"/>
      <c r="B4" s="169"/>
    </row>
    <row r="5" spans="1:8">
      <c r="A5" s="169"/>
      <c r="B5" s="169"/>
    </row>
    <row r="6" spans="1:8">
      <c r="A6" s="210" t="s">
        <v>940</v>
      </c>
      <c r="B6" s="211"/>
      <c r="C6" s="211"/>
      <c r="D6" s="211"/>
      <c r="E6" s="211"/>
      <c r="F6" s="211"/>
      <c r="G6" s="211"/>
      <c r="H6" s="211"/>
    </row>
    <row r="7" spans="1:8">
      <c r="A7" s="212" t="s">
        <v>943</v>
      </c>
      <c r="B7" s="213"/>
      <c r="C7" s="213"/>
      <c r="D7" s="213"/>
      <c r="E7" s="213"/>
      <c r="F7" s="213"/>
      <c r="G7" s="213"/>
      <c r="H7" s="213"/>
    </row>
    <row r="8" spans="1:8">
      <c r="A8" s="169" t="s">
        <v>17</v>
      </c>
      <c r="B8" s="2"/>
      <c r="F8" s="10"/>
    </row>
    <row r="9" spans="1:8" s="193" customFormat="1" ht="25.5">
      <c r="A9" s="191" t="s">
        <v>18</v>
      </c>
      <c r="B9" s="192" t="s">
        <v>19</v>
      </c>
      <c r="E9" s="201" t="s">
        <v>93</v>
      </c>
      <c r="F9" s="191" t="s">
        <v>914</v>
      </c>
      <c r="G9" s="201" t="s">
        <v>913</v>
      </c>
      <c r="H9" s="202" t="s">
        <v>912</v>
      </c>
    </row>
    <row r="10" spans="1:8">
      <c r="A10" s="5"/>
      <c r="F10" s="5"/>
    </row>
    <row r="11" spans="1:8">
      <c r="A11" s="5">
        <v>1</v>
      </c>
      <c r="B11" s="12" t="s">
        <v>911</v>
      </c>
      <c r="E11" s="198"/>
      <c r="F11" s="199"/>
      <c r="G11" s="198"/>
      <c r="H11" s="200"/>
    </row>
    <row r="12" spans="1:8">
      <c r="A12" s="5">
        <f>A11+1</f>
        <v>2</v>
      </c>
      <c r="B12" s="3" t="s">
        <v>915</v>
      </c>
      <c r="F12" s="3"/>
    </row>
    <row r="13" spans="1:8">
      <c r="A13" s="5">
        <f t="shared" ref="A13:A37" si="0">A12+1</f>
        <v>3</v>
      </c>
      <c r="B13" s="99" t="s">
        <v>916</v>
      </c>
      <c r="E13" s="174">
        <v>169627.5</v>
      </c>
      <c r="F13" s="7">
        <v>1017765</v>
      </c>
      <c r="G13" s="175">
        <v>1017765</v>
      </c>
      <c r="H13" s="176">
        <f>G13-E13-1</f>
        <v>848136.5</v>
      </c>
    </row>
    <row r="14" spans="1:8">
      <c r="A14" s="5">
        <f t="shared" si="0"/>
        <v>4</v>
      </c>
      <c r="B14" s="3" t="s">
        <v>917</v>
      </c>
      <c r="E14" s="11">
        <v>169627.5</v>
      </c>
      <c r="F14" s="168">
        <v>1017765</v>
      </c>
      <c r="G14" s="171">
        <v>1017765</v>
      </c>
      <c r="H14" s="172">
        <f>H13</f>
        <v>848136.5</v>
      </c>
    </row>
    <row r="15" spans="1:8">
      <c r="A15" s="5">
        <f t="shared" si="0"/>
        <v>5</v>
      </c>
      <c r="F15" s="3"/>
    </row>
    <row r="16" spans="1:8">
      <c r="A16" s="5">
        <f t="shared" si="0"/>
        <v>6</v>
      </c>
      <c r="E16" s="11"/>
      <c r="F16" s="5"/>
    </row>
    <row r="17" spans="1:8">
      <c r="A17" s="5">
        <f>A16+1</f>
        <v>7</v>
      </c>
      <c r="B17" s="12" t="s">
        <v>71</v>
      </c>
      <c r="E17" s="175"/>
      <c r="F17" s="170"/>
      <c r="G17" s="175"/>
      <c r="H17" s="176"/>
    </row>
    <row r="18" spans="1:8">
      <c r="A18" s="5">
        <f t="shared" si="0"/>
        <v>8</v>
      </c>
      <c r="B18" s="99" t="s">
        <v>918</v>
      </c>
      <c r="D18" s="188"/>
      <c r="F18" s="3"/>
      <c r="H18" s="177"/>
    </row>
    <row r="19" spans="1:8">
      <c r="A19" s="5">
        <f t="shared" si="0"/>
        <v>9</v>
      </c>
      <c r="B19" s="99" t="s">
        <v>919</v>
      </c>
      <c r="E19" s="11">
        <v>2048627</v>
      </c>
      <c r="F19" s="100">
        <v>0</v>
      </c>
      <c r="G19" s="171">
        <v>0</v>
      </c>
      <c r="H19" s="177">
        <f>G19-E19</f>
        <v>-2048627</v>
      </c>
    </row>
    <row r="20" spans="1:8">
      <c r="A20" s="5">
        <f t="shared" si="0"/>
        <v>10</v>
      </c>
      <c r="B20" s="99" t="s">
        <v>920</v>
      </c>
      <c r="C20" s="189" t="s">
        <v>14</v>
      </c>
      <c r="E20" s="178"/>
      <c r="F20" s="3"/>
      <c r="H20" s="179"/>
    </row>
    <row r="21" spans="1:8">
      <c r="A21" s="5">
        <f t="shared" si="0"/>
        <v>11</v>
      </c>
      <c r="B21" s="99" t="s">
        <v>921</v>
      </c>
      <c r="C21" s="189"/>
      <c r="E21" s="178"/>
      <c r="F21" s="6"/>
      <c r="H21" s="179"/>
    </row>
    <row r="22" spans="1:8">
      <c r="A22" s="5">
        <f t="shared" si="0"/>
        <v>12</v>
      </c>
      <c r="B22" s="99" t="s">
        <v>3</v>
      </c>
      <c r="C22" s="189"/>
      <c r="D22" s="188"/>
      <c r="E22" s="178">
        <v>247903.82</v>
      </c>
      <c r="F22" s="6">
        <v>484912.68000000011</v>
      </c>
      <c r="G22" s="171">
        <v>484912.68000000011</v>
      </c>
      <c r="H22" s="177">
        <f t="shared" ref="H22:H30" si="1">G22-E22</f>
        <v>237008.8600000001</v>
      </c>
    </row>
    <row r="23" spans="1:8" ht="14.25" customHeight="1">
      <c r="A23" s="5">
        <f t="shared" si="0"/>
        <v>13</v>
      </c>
      <c r="B23" s="99" t="s">
        <v>922</v>
      </c>
      <c r="C23" s="189"/>
      <c r="E23" s="180">
        <v>2987000</v>
      </c>
      <c r="F23" s="6">
        <v>2300000</v>
      </c>
      <c r="G23" s="171">
        <v>2300000</v>
      </c>
      <c r="H23" s="177">
        <f t="shared" si="1"/>
        <v>-687000</v>
      </c>
    </row>
    <row r="24" spans="1:8">
      <c r="A24" s="5">
        <f t="shared" si="0"/>
        <v>14</v>
      </c>
      <c r="B24" s="112" t="s">
        <v>923</v>
      </c>
      <c r="E24" s="181">
        <v>783838.11</v>
      </c>
      <c r="F24" s="6">
        <v>807353.25329999998</v>
      </c>
      <c r="G24" s="171">
        <v>783838</v>
      </c>
      <c r="H24" s="177">
        <f t="shared" si="1"/>
        <v>-0.10999999998603016</v>
      </c>
    </row>
    <row r="25" spans="1:8" s="5" customFormat="1">
      <c r="A25" s="5">
        <f t="shared" si="0"/>
        <v>15</v>
      </c>
      <c r="B25" s="112" t="s">
        <v>924</v>
      </c>
      <c r="D25" s="3"/>
      <c r="E25" s="181">
        <v>27737607.219999999</v>
      </c>
      <c r="F25" s="6">
        <v>28612146.413200002</v>
      </c>
      <c r="G25" s="11">
        <v>27737607</v>
      </c>
      <c r="H25" s="177">
        <f t="shared" si="1"/>
        <v>-0.2199999988079071</v>
      </c>
    </row>
    <row r="26" spans="1:8" s="5" customFormat="1">
      <c r="A26" s="5">
        <f t="shared" si="0"/>
        <v>16</v>
      </c>
      <c r="B26" s="112" t="s">
        <v>925</v>
      </c>
      <c r="D26" s="188"/>
      <c r="E26" s="181">
        <v>-2376.064476</v>
      </c>
      <c r="F26" s="6">
        <v>0</v>
      </c>
      <c r="G26" s="11">
        <v>0</v>
      </c>
      <c r="H26" s="177">
        <f t="shared" si="1"/>
        <v>2376.064476</v>
      </c>
    </row>
    <row r="27" spans="1:8" s="5" customFormat="1">
      <c r="A27" s="5">
        <f t="shared" si="0"/>
        <v>17</v>
      </c>
      <c r="B27" s="117" t="s">
        <v>926</v>
      </c>
      <c r="D27" s="188"/>
      <c r="E27" s="181">
        <v>193717.80369</v>
      </c>
      <c r="F27" s="6">
        <v>506302.09892032295</v>
      </c>
      <c r="G27" s="11">
        <v>506302.09892032295</v>
      </c>
      <c r="H27" s="177">
        <f t="shared" si="1"/>
        <v>312584.29523032298</v>
      </c>
    </row>
    <row r="28" spans="1:8" s="5" customFormat="1">
      <c r="A28" s="5">
        <f t="shared" si="0"/>
        <v>18</v>
      </c>
      <c r="B28" s="117" t="s">
        <v>927</v>
      </c>
      <c r="D28" s="168"/>
      <c r="E28" s="181">
        <v>1622419.5483720002</v>
      </c>
      <c r="F28" s="6">
        <v>2252355.0804927759</v>
      </c>
      <c r="G28" s="11">
        <v>2252355.0804927759</v>
      </c>
      <c r="H28" s="177">
        <f t="shared" si="1"/>
        <v>629935.53212077566</v>
      </c>
    </row>
    <row r="29" spans="1:8" s="5" customFormat="1">
      <c r="A29" s="5">
        <f t="shared" si="0"/>
        <v>19</v>
      </c>
      <c r="B29" s="99" t="s">
        <v>928</v>
      </c>
      <c r="D29" s="188"/>
      <c r="E29" s="182">
        <v>13138.279919999999</v>
      </c>
      <c r="F29" s="6">
        <v>0</v>
      </c>
      <c r="G29" s="11">
        <v>0</v>
      </c>
      <c r="H29" s="177">
        <f t="shared" si="1"/>
        <v>-13138.279919999999</v>
      </c>
    </row>
    <row r="30" spans="1:8" s="5" customFormat="1">
      <c r="A30" s="5">
        <f t="shared" si="0"/>
        <v>20</v>
      </c>
      <c r="B30" s="99" t="s">
        <v>929</v>
      </c>
      <c r="D30" s="3"/>
      <c r="E30" s="182">
        <v>13504.977418499999</v>
      </c>
      <c r="F30" s="6">
        <v>0</v>
      </c>
      <c r="G30" s="11">
        <v>0</v>
      </c>
      <c r="H30" s="177">
        <f t="shared" si="1"/>
        <v>-13504.977418499999</v>
      </c>
    </row>
    <row r="31" spans="1:8" s="5" customFormat="1">
      <c r="A31" s="5">
        <f t="shared" si="0"/>
        <v>21</v>
      </c>
      <c r="B31" s="99" t="s">
        <v>930</v>
      </c>
      <c r="D31" s="3"/>
      <c r="E31" s="174"/>
      <c r="F31" s="7"/>
      <c r="G31" s="183"/>
      <c r="H31" s="187"/>
    </row>
    <row r="32" spans="1:8" s="5" customFormat="1">
      <c r="A32" s="5">
        <f t="shared" si="0"/>
        <v>22</v>
      </c>
      <c r="B32" s="9" t="s">
        <v>931</v>
      </c>
      <c r="D32" s="3"/>
      <c r="E32" s="184">
        <f>SUM(E19:E31)</f>
        <v>35645380.694924496</v>
      </c>
      <c r="F32" s="157">
        <f>SUM(F19:F31)</f>
        <v>34963069.525913104</v>
      </c>
      <c r="G32" s="11">
        <f>SUM(G19:G31)</f>
        <v>34065014.859413102</v>
      </c>
      <c r="H32" s="11">
        <f>SUM(H19:H31)</f>
        <v>-1580365.8355113994</v>
      </c>
    </row>
    <row r="33" spans="1:8" s="5" customFormat="1">
      <c r="A33" s="5">
        <f t="shared" si="0"/>
        <v>23</v>
      </c>
      <c r="B33" s="3"/>
      <c r="E33" s="11"/>
      <c r="F33" s="11"/>
      <c r="G33" s="11"/>
      <c r="H33" s="173"/>
    </row>
    <row r="34" spans="1:8">
      <c r="A34" s="5">
        <f t="shared" si="0"/>
        <v>24</v>
      </c>
      <c r="B34" s="8" t="s">
        <v>933</v>
      </c>
      <c r="H34" s="172">
        <f>-H14+H32</f>
        <v>-2428502.3355113994</v>
      </c>
    </row>
    <row r="35" spans="1:8">
      <c r="A35" s="5">
        <f t="shared" si="0"/>
        <v>25</v>
      </c>
      <c r="B35" s="11" t="s">
        <v>932</v>
      </c>
      <c r="E35" s="185"/>
      <c r="F35" s="194">
        <v>0.35</v>
      </c>
      <c r="H35" s="172">
        <f>H34*-F35</f>
        <v>849975.8174289898</v>
      </c>
    </row>
    <row r="36" spans="1:8">
      <c r="A36" s="5">
        <f t="shared" si="0"/>
        <v>26</v>
      </c>
      <c r="B36" s="197"/>
      <c r="E36" s="185"/>
      <c r="F36" s="185"/>
    </row>
    <row r="37" spans="1:8">
      <c r="A37" s="5">
        <f t="shared" si="0"/>
        <v>27</v>
      </c>
      <c r="B37" s="196" t="s">
        <v>934</v>
      </c>
      <c r="E37" s="186"/>
      <c r="F37" s="186"/>
      <c r="H37" s="176">
        <f>-H34-H35</f>
        <v>1578526.5180824096</v>
      </c>
    </row>
    <row r="38" spans="1:8">
      <c r="A38" s="5" t="s">
        <v>91</v>
      </c>
      <c r="E38" s="185"/>
      <c r="F38" s="185"/>
    </row>
    <row r="39" spans="1:8">
      <c r="A39" s="113"/>
      <c r="E39" s="185"/>
      <c r="F39" s="3"/>
    </row>
    <row r="40" spans="1:8">
      <c r="A40" s="5"/>
    </row>
    <row r="41" spans="1:8">
      <c r="A41" s="4"/>
      <c r="B41" s="103"/>
      <c r="H41" s="204"/>
    </row>
    <row r="42" spans="1:8">
      <c r="A42" s="4"/>
      <c r="B42" s="101"/>
    </row>
  </sheetData>
  <customSheetViews>
    <customSheetView guid="{6DB0C51A-CF2E-4524-B123-6AE855E84E26}" hiddenColumns="1">
      <selection activeCell="B16" sqref="B16"/>
      <pageMargins left="0.25" right="0.25" top="0.94" bottom="0.86" header="0.5" footer="0.5"/>
      <printOptions horizontalCentered="1"/>
      <pageSetup scale="85" orientation="landscape" r:id="rId1"/>
      <headerFooter alignWithMargins="0"/>
    </customSheetView>
    <customSheetView guid="{D9FD7722-CADB-4741-856E-53C9C7AFA1D2}" showPageBreaks="1" printArea="1" hiddenColumns="1">
      <selection activeCell="B16" sqref="B16"/>
      <pageMargins left="0.25" right="0.25" top="0.94" bottom="0.86" header="0.5" footer="0.5"/>
      <printOptions horizontalCentered="1"/>
      <pageSetup scale="85" orientation="landscape" r:id="rId2"/>
      <headerFooter alignWithMargins="0"/>
    </customSheetView>
  </customSheetViews>
  <mergeCells count="5">
    <mergeCell ref="A1:C1"/>
    <mergeCell ref="A2:C2"/>
    <mergeCell ref="A3:C3"/>
    <mergeCell ref="A6:H6"/>
    <mergeCell ref="A7:H7"/>
  </mergeCells>
  <phoneticPr fontId="6" type="noConversion"/>
  <printOptions horizontalCentered="1"/>
  <pageMargins left="0.25" right="0.25" top="0.94" bottom="0.86" header="0.5" footer="0.5"/>
  <pageSetup scale="85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 enableFormatConditionsCalculation="0">
    <tabColor indexed="42"/>
  </sheetPr>
  <dimension ref="A1:R41"/>
  <sheetViews>
    <sheetView workbookViewId="0">
      <selection activeCell="F7" sqref="F7"/>
    </sheetView>
  </sheetViews>
  <sheetFormatPr defaultRowHeight="12.75"/>
  <cols>
    <col min="1" max="1" width="8.28515625" style="34" customWidth="1"/>
    <col min="2" max="2" width="10.140625" style="34" customWidth="1"/>
    <col min="3" max="3" width="8.42578125" style="34" customWidth="1"/>
    <col min="4" max="4" width="11.28515625" style="34" customWidth="1"/>
    <col min="5" max="5" width="5.85546875" style="34" customWidth="1"/>
    <col min="6" max="6" width="13.42578125" style="34" customWidth="1"/>
    <col min="7" max="7" width="2.5703125" style="34" customWidth="1"/>
    <col min="8" max="8" width="14.5703125" style="34" customWidth="1"/>
    <col min="9" max="9" width="13.28515625" style="34" customWidth="1"/>
    <col min="10" max="10" width="11.140625" style="34" hidden="1" customWidth="1"/>
    <col min="11" max="11" width="10.85546875" style="34" customWidth="1"/>
    <col min="12" max="12" width="11" style="34" customWidth="1"/>
    <col min="13" max="13" width="8.140625" style="34" customWidth="1"/>
    <col min="14" max="14" width="9.140625" style="34"/>
    <col min="15" max="15" width="10.140625" style="34" customWidth="1"/>
    <col min="16" max="16384" width="9.140625" style="34"/>
  </cols>
  <sheetData>
    <row r="1" spans="1:18" ht="15.75">
      <c r="A1" s="48">
        <f>ROW()</f>
        <v>1</v>
      </c>
      <c r="D1" s="49" t="s">
        <v>11</v>
      </c>
      <c r="E1" s="49"/>
      <c r="F1" s="91">
        <v>18230461</v>
      </c>
      <c r="J1" s="50"/>
      <c r="K1" s="50"/>
      <c r="L1" s="50"/>
      <c r="M1" s="51"/>
      <c r="N1" s="50"/>
      <c r="O1" s="50"/>
      <c r="P1" s="50"/>
      <c r="Q1" s="50"/>
      <c r="R1" s="50"/>
    </row>
    <row r="2" spans="1:18">
      <c r="A2" s="48">
        <f>ROW()</f>
        <v>2</v>
      </c>
      <c r="D2" s="64" t="s">
        <v>62</v>
      </c>
      <c r="E2" s="64"/>
      <c r="F2" s="73" t="s">
        <v>64</v>
      </c>
      <c r="G2" s="51"/>
      <c r="H2" s="73" t="s">
        <v>63</v>
      </c>
      <c r="I2" s="51"/>
      <c r="J2" s="51"/>
      <c r="K2" s="50"/>
      <c r="L2" s="50"/>
      <c r="M2" s="52"/>
      <c r="N2" s="50"/>
      <c r="O2" s="50"/>
      <c r="P2" s="51"/>
      <c r="Q2" s="50"/>
      <c r="R2" s="50"/>
    </row>
    <row r="3" spans="1:18">
      <c r="A3" s="48">
        <f>ROW()</f>
        <v>3</v>
      </c>
      <c r="B3" s="50"/>
      <c r="C3" s="50"/>
      <c r="D3" s="50"/>
      <c r="E3" s="50"/>
      <c r="F3" s="53"/>
      <c r="G3" s="51"/>
      <c r="H3" s="51"/>
      <c r="I3" s="51"/>
      <c r="J3" s="51"/>
      <c r="K3" s="50"/>
      <c r="L3" s="51"/>
      <c r="M3" s="51"/>
      <c r="N3" s="51"/>
      <c r="O3" s="51"/>
      <c r="P3" s="51"/>
      <c r="Q3" s="50"/>
      <c r="R3" s="50"/>
    </row>
    <row r="4" spans="1:18">
      <c r="A4" s="48">
        <f>ROW()</f>
        <v>4</v>
      </c>
      <c r="C4" s="50"/>
      <c r="D4" s="50"/>
      <c r="E4" s="50"/>
      <c r="F4" s="53"/>
      <c r="G4" s="51"/>
      <c r="H4" s="54" t="s">
        <v>65</v>
      </c>
      <c r="I4" s="54"/>
      <c r="J4" s="51"/>
      <c r="K4" s="50"/>
      <c r="L4" s="51"/>
      <c r="M4" s="51"/>
      <c r="N4" s="51"/>
      <c r="O4" s="51"/>
      <c r="P4" s="51"/>
      <c r="Q4" s="50"/>
      <c r="R4" s="50"/>
    </row>
    <row r="5" spans="1:18">
      <c r="A5" s="48">
        <f>ROW()</f>
        <v>5</v>
      </c>
      <c r="B5" s="50" t="s">
        <v>12</v>
      </c>
      <c r="C5" s="50"/>
      <c r="D5" s="50"/>
      <c r="E5" s="50"/>
      <c r="F5" s="52"/>
      <c r="G5" s="50"/>
      <c r="H5" s="59" t="s">
        <v>66</v>
      </c>
      <c r="I5" s="50"/>
      <c r="J5" s="50"/>
      <c r="K5" s="50"/>
      <c r="L5" s="51"/>
      <c r="M5" s="51"/>
      <c r="N5" s="50"/>
      <c r="O5" s="50"/>
      <c r="P5" s="50"/>
      <c r="Q5" s="50"/>
      <c r="R5" s="50"/>
    </row>
    <row r="6" spans="1:18">
      <c r="A6" s="48">
        <f>ROW()</f>
        <v>6</v>
      </c>
      <c r="B6" s="66" t="s">
        <v>61</v>
      </c>
      <c r="C6" s="67"/>
      <c r="D6" s="67"/>
      <c r="E6" s="67"/>
      <c r="F6" s="68" t="e">
        <f>#REF!</f>
        <v>#REF!</v>
      </c>
      <c r="G6" s="50"/>
      <c r="H6" s="92">
        <v>0.11219999999999999</v>
      </c>
      <c r="I6" s="50"/>
      <c r="J6" s="93" t="s">
        <v>13</v>
      </c>
      <c r="K6" s="50"/>
      <c r="L6" s="50"/>
      <c r="M6" s="50"/>
      <c r="N6" s="50"/>
      <c r="O6" s="50"/>
      <c r="P6" s="52"/>
      <c r="Q6" s="50"/>
      <c r="R6" s="50"/>
    </row>
    <row r="7" spans="1:18">
      <c r="A7" s="48">
        <f>ROW()</f>
        <v>7</v>
      </c>
      <c r="B7" s="63"/>
      <c r="C7" s="50"/>
      <c r="D7" s="50"/>
      <c r="E7" s="50"/>
      <c r="F7" s="52"/>
      <c r="G7" s="50"/>
      <c r="H7" s="50"/>
      <c r="I7" s="50"/>
      <c r="J7" s="50"/>
      <c r="K7" s="50"/>
      <c r="L7" s="50"/>
      <c r="M7" s="50"/>
      <c r="N7" s="50"/>
      <c r="O7" s="50"/>
      <c r="P7" s="52"/>
      <c r="Q7" s="50"/>
      <c r="R7" s="50"/>
    </row>
    <row r="8" spans="1:18">
      <c r="A8" s="48">
        <f>ROW()</f>
        <v>8</v>
      </c>
      <c r="B8" s="94">
        <v>39753</v>
      </c>
      <c r="C8" s="50"/>
      <c r="D8" s="65" t="e">
        <f t="shared" ref="D8:D31" si="0">-$F$6/24</f>
        <v>#REF!</v>
      </c>
      <c r="E8" s="65"/>
      <c r="F8" s="65" t="e">
        <f>$F$6+D8</f>
        <v>#REF!</v>
      </c>
      <c r="G8" s="65"/>
      <c r="H8" s="65" t="e">
        <f>F6*H6/12/0.65</f>
        <v>#REF!</v>
      </c>
      <c r="I8" s="65" t="e">
        <f>+F8-H8</f>
        <v>#REF!</v>
      </c>
      <c r="J8" s="50"/>
      <c r="K8" s="50"/>
      <c r="L8" s="50"/>
      <c r="M8" s="50"/>
      <c r="N8" s="50"/>
      <c r="O8" s="50"/>
      <c r="P8" s="52"/>
      <c r="Q8" s="50"/>
      <c r="R8" s="50"/>
    </row>
    <row r="9" spans="1:18">
      <c r="A9" s="48">
        <f>ROW()</f>
        <v>9</v>
      </c>
      <c r="B9" s="94">
        <v>39783</v>
      </c>
      <c r="C9" s="50"/>
      <c r="D9" s="65" t="e">
        <f t="shared" si="0"/>
        <v>#REF!</v>
      </c>
      <c r="E9" s="65"/>
      <c r="F9" s="65" t="e">
        <f>+F8+D9</f>
        <v>#REF!</v>
      </c>
      <c r="G9" s="65"/>
      <c r="H9" s="65" t="e">
        <f>F8*$H$6/12/0.65</f>
        <v>#REF!</v>
      </c>
      <c r="I9" s="65" t="e">
        <f>+F9-H9</f>
        <v>#REF!</v>
      </c>
      <c r="J9" s="50"/>
      <c r="K9" s="50"/>
      <c r="L9" s="50"/>
      <c r="M9" s="50"/>
      <c r="N9" s="50"/>
      <c r="O9" s="50"/>
      <c r="P9" s="52"/>
      <c r="Q9" s="50"/>
      <c r="R9" s="50"/>
    </row>
    <row r="10" spans="1:18">
      <c r="A10" s="48">
        <f>ROW()</f>
        <v>10</v>
      </c>
      <c r="B10" s="94">
        <v>39814</v>
      </c>
      <c r="C10" s="50"/>
      <c r="D10" s="65" t="e">
        <f t="shared" si="0"/>
        <v>#REF!</v>
      </c>
      <c r="E10" s="65"/>
      <c r="F10" s="65" t="e">
        <f t="shared" ref="F10:F31" si="1">+F9+D10</f>
        <v>#REF!</v>
      </c>
      <c r="G10" s="65"/>
      <c r="H10" s="65" t="e">
        <f t="shared" ref="H10:H31" si="2">F9*$H$6/12/0.65</f>
        <v>#REF!</v>
      </c>
      <c r="I10" s="65" t="e">
        <f t="shared" ref="I10:I31" si="3">+F10-H10</f>
        <v>#REF!</v>
      </c>
      <c r="J10" s="50"/>
      <c r="K10" s="50"/>
      <c r="L10" s="50"/>
      <c r="M10" s="50"/>
      <c r="N10" s="50"/>
      <c r="O10" s="50"/>
      <c r="P10" s="52"/>
      <c r="Q10" s="50"/>
      <c r="R10" s="50"/>
    </row>
    <row r="11" spans="1:18">
      <c r="A11" s="48">
        <f>ROW()</f>
        <v>11</v>
      </c>
      <c r="B11" s="94">
        <v>39845</v>
      </c>
      <c r="C11" s="50"/>
      <c r="D11" s="65" t="e">
        <f t="shared" si="0"/>
        <v>#REF!</v>
      </c>
      <c r="E11" s="65"/>
      <c r="F11" s="65" t="e">
        <f t="shared" si="1"/>
        <v>#REF!</v>
      </c>
      <c r="G11" s="69"/>
      <c r="H11" s="65" t="e">
        <f t="shared" si="2"/>
        <v>#REF!</v>
      </c>
      <c r="I11" s="65" t="e">
        <f t="shared" si="3"/>
        <v>#REF!</v>
      </c>
      <c r="J11" s="55"/>
      <c r="K11" s="56"/>
      <c r="L11" s="50"/>
      <c r="M11" s="50"/>
      <c r="N11" s="50"/>
      <c r="O11" s="50"/>
      <c r="P11" s="50"/>
      <c r="Q11" s="50"/>
      <c r="R11" s="50"/>
    </row>
    <row r="12" spans="1:18">
      <c r="A12" s="48">
        <f>ROW()</f>
        <v>12</v>
      </c>
      <c r="B12" s="94">
        <v>39873</v>
      </c>
      <c r="C12" s="50"/>
      <c r="D12" s="65" t="e">
        <f t="shared" si="0"/>
        <v>#REF!</v>
      </c>
      <c r="E12" s="65"/>
      <c r="F12" s="65" t="e">
        <f t="shared" si="1"/>
        <v>#REF!</v>
      </c>
      <c r="G12" s="70"/>
      <c r="H12" s="65" t="e">
        <f t="shared" si="2"/>
        <v>#REF!</v>
      </c>
      <c r="I12" s="65" t="e">
        <f t="shared" si="3"/>
        <v>#REF!</v>
      </c>
      <c r="J12" s="57"/>
      <c r="K12" s="58"/>
    </row>
    <row r="13" spans="1:18">
      <c r="A13" s="48">
        <f>ROW()</f>
        <v>13</v>
      </c>
      <c r="B13" s="94">
        <v>39904</v>
      </c>
      <c r="C13" s="50"/>
      <c r="D13" s="65" t="e">
        <f t="shared" si="0"/>
        <v>#REF!</v>
      </c>
      <c r="E13" s="65"/>
      <c r="F13" s="65" t="e">
        <f t="shared" si="1"/>
        <v>#REF!</v>
      </c>
      <c r="G13" s="71"/>
      <c r="H13" s="65" t="e">
        <f t="shared" si="2"/>
        <v>#REF!</v>
      </c>
      <c r="I13" s="65" t="e">
        <f t="shared" si="3"/>
        <v>#REF!</v>
      </c>
    </row>
    <row r="14" spans="1:18">
      <c r="A14" s="48">
        <f>ROW()</f>
        <v>14</v>
      </c>
      <c r="B14" s="94">
        <v>39934</v>
      </c>
      <c r="C14" s="50"/>
      <c r="D14" s="65" t="e">
        <f t="shared" si="0"/>
        <v>#REF!</v>
      </c>
      <c r="E14" s="65"/>
      <c r="F14" s="65" t="e">
        <f t="shared" si="1"/>
        <v>#REF!</v>
      </c>
      <c r="G14" s="71"/>
      <c r="H14" s="65" t="e">
        <f t="shared" si="2"/>
        <v>#REF!</v>
      </c>
      <c r="I14" s="65" t="e">
        <f t="shared" si="3"/>
        <v>#REF!</v>
      </c>
    </row>
    <row r="15" spans="1:18">
      <c r="A15" s="48">
        <f>ROW()</f>
        <v>15</v>
      </c>
      <c r="B15" s="94">
        <v>39965</v>
      </c>
      <c r="C15" s="50"/>
      <c r="D15" s="65" t="e">
        <f t="shared" si="0"/>
        <v>#REF!</v>
      </c>
      <c r="E15" s="65"/>
      <c r="F15" s="65" t="e">
        <f t="shared" si="1"/>
        <v>#REF!</v>
      </c>
      <c r="G15" s="71"/>
      <c r="H15" s="65" t="e">
        <f t="shared" si="2"/>
        <v>#REF!</v>
      </c>
      <c r="I15" s="65" t="e">
        <f t="shared" si="3"/>
        <v>#REF!</v>
      </c>
    </row>
    <row r="16" spans="1:18">
      <c r="A16" s="48">
        <f>ROW()</f>
        <v>16</v>
      </c>
      <c r="B16" s="94">
        <v>39995</v>
      </c>
      <c r="C16" s="50"/>
      <c r="D16" s="65" t="e">
        <f t="shared" si="0"/>
        <v>#REF!</v>
      </c>
      <c r="E16" s="65"/>
      <c r="F16" s="65" t="e">
        <f t="shared" si="1"/>
        <v>#REF!</v>
      </c>
      <c r="G16" s="71"/>
      <c r="H16" s="65" t="e">
        <f t="shared" si="2"/>
        <v>#REF!</v>
      </c>
      <c r="I16" s="65" t="e">
        <f t="shared" si="3"/>
        <v>#REF!</v>
      </c>
    </row>
    <row r="17" spans="1:9">
      <c r="A17" s="48">
        <f>ROW()</f>
        <v>17</v>
      </c>
      <c r="B17" s="94">
        <v>40026</v>
      </c>
      <c r="D17" s="65" t="e">
        <f t="shared" si="0"/>
        <v>#REF!</v>
      </c>
      <c r="E17" s="65"/>
      <c r="F17" s="65" t="e">
        <f t="shared" si="1"/>
        <v>#REF!</v>
      </c>
      <c r="G17" s="71"/>
      <c r="H17" s="65" t="e">
        <f t="shared" si="2"/>
        <v>#REF!</v>
      </c>
      <c r="I17" s="65" t="e">
        <f t="shared" si="3"/>
        <v>#REF!</v>
      </c>
    </row>
    <row r="18" spans="1:9">
      <c r="A18" s="48">
        <f>ROW()</f>
        <v>18</v>
      </c>
      <c r="B18" s="94">
        <v>40057</v>
      </c>
      <c r="D18" s="65" t="e">
        <f t="shared" si="0"/>
        <v>#REF!</v>
      </c>
      <c r="E18" s="65"/>
      <c r="F18" s="65" t="e">
        <f t="shared" si="1"/>
        <v>#REF!</v>
      </c>
      <c r="G18" s="71"/>
      <c r="H18" s="65" t="e">
        <f t="shared" si="2"/>
        <v>#REF!</v>
      </c>
      <c r="I18" s="65" t="e">
        <f t="shared" si="3"/>
        <v>#REF!</v>
      </c>
    </row>
    <row r="19" spans="1:9">
      <c r="A19" s="48">
        <f>ROW()</f>
        <v>19</v>
      </c>
      <c r="B19" s="94">
        <v>40087</v>
      </c>
      <c r="D19" s="65" t="e">
        <f t="shared" si="0"/>
        <v>#REF!</v>
      </c>
      <c r="E19" s="65"/>
      <c r="F19" s="65" t="e">
        <f t="shared" si="1"/>
        <v>#REF!</v>
      </c>
      <c r="G19" s="71"/>
      <c r="H19" s="65" t="e">
        <f t="shared" si="2"/>
        <v>#REF!</v>
      </c>
      <c r="I19" s="65" t="e">
        <f t="shared" si="3"/>
        <v>#REF!</v>
      </c>
    </row>
    <row r="20" spans="1:9">
      <c r="A20" s="48">
        <f>ROW()</f>
        <v>20</v>
      </c>
      <c r="B20" s="94">
        <v>40118</v>
      </c>
      <c r="D20" s="65" t="e">
        <f t="shared" si="0"/>
        <v>#REF!</v>
      </c>
      <c r="E20" s="65"/>
      <c r="F20" s="65" t="e">
        <f t="shared" si="1"/>
        <v>#REF!</v>
      </c>
      <c r="G20" s="71"/>
      <c r="H20" s="65" t="e">
        <f t="shared" si="2"/>
        <v>#REF!</v>
      </c>
      <c r="I20" s="65" t="e">
        <f t="shared" si="3"/>
        <v>#REF!</v>
      </c>
    </row>
    <row r="21" spans="1:9">
      <c r="A21" s="48">
        <f>ROW()</f>
        <v>21</v>
      </c>
      <c r="B21" s="94">
        <v>40148</v>
      </c>
      <c r="D21" s="65" t="e">
        <f t="shared" si="0"/>
        <v>#REF!</v>
      </c>
      <c r="E21" s="65"/>
      <c r="F21" s="65" t="e">
        <f t="shared" si="1"/>
        <v>#REF!</v>
      </c>
      <c r="G21" s="71"/>
      <c r="H21" s="65" t="e">
        <f t="shared" si="2"/>
        <v>#REF!</v>
      </c>
      <c r="I21" s="65" t="e">
        <f t="shared" si="3"/>
        <v>#REF!</v>
      </c>
    </row>
    <row r="22" spans="1:9">
      <c r="A22" s="48">
        <f>ROW()</f>
        <v>22</v>
      </c>
      <c r="B22" s="94">
        <v>40179</v>
      </c>
      <c r="D22" s="65" t="e">
        <f t="shared" si="0"/>
        <v>#REF!</v>
      </c>
      <c r="E22" s="65"/>
      <c r="F22" s="65" t="e">
        <f t="shared" si="1"/>
        <v>#REF!</v>
      </c>
      <c r="G22" s="71"/>
      <c r="H22" s="65" t="e">
        <f t="shared" si="2"/>
        <v>#REF!</v>
      </c>
      <c r="I22" s="65" t="e">
        <f t="shared" si="3"/>
        <v>#REF!</v>
      </c>
    </row>
    <row r="23" spans="1:9">
      <c r="A23" s="48">
        <f>ROW()</f>
        <v>23</v>
      </c>
      <c r="B23" s="94">
        <v>40210</v>
      </c>
      <c r="D23" s="65" t="e">
        <f t="shared" si="0"/>
        <v>#REF!</v>
      </c>
      <c r="E23" s="65"/>
      <c r="F23" s="65" t="e">
        <f t="shared" si="1"/>
        <v>#REF!</v>
      </c>
      <c r="G23" s="71"/>
      <c r="H23" s="65" t="e">
        <f t="shared" si="2"/>
        <v>#REF!</v>
      </c>
      <c r="I23" s="65" t="e">
        <f t="shared" si="3"/>
        <v>#REF!</v>
      </c>
    </row>
    <row r="24" spans="1:9">
      <c r="A24" s="48">
        <f>ROW()</f>
        <v>24</v>
      </c>
      <c r="B24" s="94">
        <v>40238</v>
      </c>
      <c r="D24" s="65" t="e">
        <f t="shared" si="0"/>
        <v>#REF!</v>
      </c>
      <c r="E24" s="65"/>
      <c r="F24" s="65" t="e">
        <f t="shared" si="1"/>
        <v>#REF!</v>
      </c>
      <c r="G24" s="71"/>
      <c r="H24" s="65" t="e">
        <f t="shared" si="2"/>
        <v>#REF!</v>
      </c>
      <c r="I24" s="65" t="e">
        <f t="shared" si="3"/>
        <v>#REF!</v>
      </c>
    </row>
    <row r="25" spans="1:9">
      <c r="A25" s="48">
        <f>ROW()</f>
        <v>25</v>
      </c>
      <c r="B25" s="94">
        <v>40269</v>
      </c>
      <c r="D25" s="65" t="e">
        <f t="shared" si="0"/>
        <v>#REF!</v>
      </c>
      <c r="E25" s="65"/>
      <c r="F25" s="65" t="e">
        <f t="shared" si="1"/>
        <v>#REF!</v>
      </c>
      <c r="G25" s="71"/>
      <c r="H25" s="65" t="e">
        <f t="shared" si="2"/>
        <v>#REF!</v>
      </c>
      <c r="I25" s="65" t="e">
        <f t="shared" si="3"/>
        <v>#REF!</v>
      </c>
    </row>
    <row r="26" spans="1:9">
      <c r="A26" s="48">
        <f>ROW()</f>
        <v>26</v>
      </c>
      <c r="B26" s="94">
        <v>40299</v>
      </c>
      <c r="D26" s="65" t="e">
        <f t="shared" si="0"/>
        <v>#REF!</v>
      </c>
      <c r="E26" s="65"/>
      <c r="F26" s="65" t="e">
        <f t="shared" si="1"/>
        <v>#REF!</v>
      </c>
      <c r="G26" s="71"/>
      <c r="H26" s="65" t="e">
        <f t="shared" si="2"/>
        <v>#REF!</v>
      </c>
      <c r="I26" s="65" t="e">
        <f t="shared" si="3"/>
        <v>#REF!</v>
      </c>
    </row>
    <row r="27" spans="1:9">
      <c r="A27" s="48">
        <f>ROW()</f>
        <v>27</v>
      </c>
      <c r="B27" s="94">
        <v>40330</v>
      </c>
      <c r="D27" s="65" t="e">
        <f t="shared" si="0"/>
        <v>#REF!</v>
      </c>
      <c r="E27" s="65"/>
      <c r="F27" s="65" t="e">
        <f t="shared" si="1"/>
        <v>#REF!</v>
      </c>
      <c r="G27" s="71"/>
      <c r="H27" s="65" t="e">
        <f t="shared" si="2"/>
        <v>#REF!</v>
      </c>
      <c r="I27" s="65" t="e">
        <f t="shared" si="3"/>
        <v>#REF!</v>
      </c>
    </row>
    <row r="28" spans="1:9">
      <c r="A28" s="48">
        <f>ROW()</f>
        <v>28</v>
      </c>
      <c r="B28" s="94">
        <v>40360</v>
      </c>
      <c r="D28" s="65" t="e">
        <f t="shared" si="0"/>
        <v>#REF!</v>
      </c>
      <c r="E28" s="65"/>
      <c r="F28" s="65" t="e">
        <f t="shared" si="1"/>
        <v>#REF!</v>
      </c>
      <c r="H28" s="65" t="e">
        <f t="shared" si="2"/>
        <v>#REF!</v>
      </c>
      <c r="I28" s="65" t="e">
        <f t="shared" si="3"/>
        <v>#REF!</v>
      </c>
    </row>
    <row r="29" spans="1:9">
      <c r="A29" s="48">
        <f>ROW()</f>
        <v>29</v>
      </c>
      <c r="B29" s="94">
        <v>40391</v>
      </c>
      <c r="D29" s="65" t="e">
        <f t="shared" si="0"/>
        <v>#REF!</v>
      </c>
      <c r="E29" s="65"/>
      <c r="F29" s="65" t="e">
        <f t="shared" si="1"/>
        <v>#REF!</v>
      </c>
      <c r="H29" s="65" t="e">
        <f t="shared" si="2"/>
        <v>#REF!</v>
      </c>
      <c r="I29" s="65" t="e">
        <f t="shared" si="3"/>
        <v>#REF!</v>
      </c>
    </row>
    <row r="30" spans="1:9">
      <c r="A30" s="48">
        <f>ROW()</f>
        <v>30</v>
      </c>
      <c r="B30" s="94">
        <v>40422</v>
      </c>
      <c r="D30" s="65" t="e">
        <f t="shared" si="0"/>
        <v>#REF!</v>
      </c>
      <c r="E30" s="65"/>
      <c r="F30" s="65" t="e">
        <f t="shared" si="1"/>
        <v>#REF!</v>
      </c>
      <c r="H30" s="65" t="e">
        <f t="shared" si="2"/>
        <v>#REF!</v>
      </c>
      <c r="I30" s="65" t="e">
        <f t="shared" si="3"/>
        <v>#REF!</v>
      </c>
    </row>
    <row r="31" spans="1:9" ht="13.5" thickBot="1">
      <c r="A31" s="48">
        <f>ROW()</f>
        <v>31</v>
      </c>
      <c r="B31" s="94">
        <v>40452</v>
      </c>
      <c r="D31" s="72" t="e">
        <f t="shared" si="0"/>
        <v>#REF!</v>
      </c>
      <c r="E31" s="72"/>
      <c r="F31" s="72" t="e">
        <f t="shared" si="1"/>
        <v>#REF!</v>
      </c>
      <c r="H31" s="74" t="e">
        <f t="shared" si="2"/>
        <v>#REF!</v>
      </c>
      <c r="I31" s="72" t="e">
        <f t="shared" si="3"/>
        <v>#REF!</v>
      </c>
    </row>
    <row r="32" spans="1:9">
      <c r="D32" s="65" t="e">
        <f>SUM(D8:D31)</f>
        <v>#REF!</v>
      </c>
      <c r="E32" s="65"/>
      <c r="F32" s="65"/>
      <c r="H32" s="34" t="e">
        <f>SUM(H8:H31)</f>
        <v>#REF!</v>
      </c>
      <c r="I32" s="65"/>
    </row>
    <row r="34" spans="1:4">
      <c r="A34" s="34" t="s">
        <v>69</v>
      </c>
      <c r="D34" s="61" t="e">
        <f>-D32</f>
        <v>#REF!</v>
      </c>
    </row>
    <row r="35" spans="1:4">
      <c r="D35" s="50"/>
    </row>
    <row r="36" spans="1:4" ht="13.5" thickBot="1">
      <c r="A36" s="34" t="s">
        <v>68</v>
      </c>
      <c r="D36" s="60" t="e">
        <f>-SUM(D8:D19)</f>
        <v>#REF!</v>
      </c>
    </row>
    <row r="37" spans="1:4" ht="13.5" thickTop="1"/>
    <row r="39" spans="1:4" ht="13.5" thickBot="1">
      <c r="A39" s="34" t="s">
        <v>70</v>
      </c>
      <c r="D39" s="60" t="e">
        <f>SUM(H8:H19)</f>
        <v>#REF!</v>
      </c>
    </row>
    <row r="40" spans="1:4" ht="13.5" thickTop="1"/>
    <row r="41" spans="1:4">
      <c r="A41" s="34" t="s">
        <v>67</v>
      </c>
      <c r="D41" s="34" t="e">
        <f>D39/2</f>
        <v>#REF!</v>
      </c>
    </row>
  </sheetData>
  <customSheetViews>
    <customSheetView guid="{6DB0C51A-CF2E-4524-B123-6AE855E84E26}" hiddenColumns="1" state="hidden">
      <selection activeCell="F7" sqref="F7"/>
      <pageMargins left="0.75" right="0.75" top="1" bottom="1" header="0.5" footer="0.5"/>
      <pageSetup orientation="portrait" r:id="rId1"/>
      <headerFooter alignWithMargins="0"/>
    </customSheetView>
    <customSheetView guid="{D9FD7722-CADB-4741-856E-53C9C7AFA1D2}" hiddenColumns="1" state="hidden">
      <selection activeCell="F7" sqref="F7"/>
      <pageMargins left="0.75" right="0.75" top="1" bottom="1" header="0.5" footer="0.5"/>
      <pageSetup orientation="portrait" r:id="rId2"/>
      <headerFooter alignWithMargins="0"/>
    </customSheetView>
  </customSheetViews>
  <phoneticPr fontId="6" type="noConversion"/>
  <pageMargins left="0.75" right="0.75" top="1" bottom="1" header="0.5" footer="0.5"/>
  <pageSetup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 enableFormatConditionsCalculation="0">
    <tabColor indexed="42"/>
  </sheetPr>
  <dimension ref="A1:R45"/>
  <sheetViews>
    <sheetView workbookViewId="0">
      <selection activeCell="G40" sqref="G40"/>
    </sheetView>
  </sheetViews>
  <sheetFormatPr defaultRowHeight="12.75"/>
  <cols>
    <col min="1" max="1" width="12.85546875" customWidth="1"/>
    <col min="2" max="2" width="11.28515625" bestFit="1" customWidth="1"/>
    <col min="3" max="3" width="16.5703125" customWidth="1"/>
    <col min="4" max="4" width="10.5703125" customWidth="1"/>
    <col min="5" max="5" width="11.28515625" customWidth="1"/>
    <col min="6" max="6" width="11.5703125" customWidth="1"/>
    <col min="7" max="7" width="12" customWidth="1"/>
    <col min="8" max="8" width="10.140625" bestFit="1" customWidth="1"/>
    <col min="9" max="10" width="10.140625" customWidth="1"/>
    <col min="11" max="11" width="10.28515625" customWidth="1"/>
    <col min="12" max="12" width="10.5703125" customWidth="1"/>
    <col min="13" max="13" width="10.140625" customWidth="1"/>
    <col min="14" max="14" width="13.42578125" customWidth="1"/>
    <col min="15" max="15" width="13.7109375" customWidth="1"/>
    <col min="16" max="16" width="11.28515625" customWidth="1"/>
    <col min="17" max="17" width="4" customWidth="1"/>
    <col min="18" max="18" width="10.28515625" bestFit="1" customWidth="1"/>
  </cols>
  <sheetData>
    <row r="1" spans="1:18">
      <c r="A1" s="13"/>
    </row>
    <row r="3" spans="1:18">
      <c r="A3" s="14" t="s">
        <v>16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8">
      <c r="A4" s="14" t="s">
        <v>22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8">
      <c r="A5" s="14" t="s">
        <v>23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8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8">
      <c r="A7" s="14" t="s">
        <v>90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8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11" spans="1:18">
      <c r="A11" s="16"/>
      <c r="B11" s="17" t="s">
        <v>72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18"/>
      <c r="O11" s="75"/>
      <c r="P11" s="75"/>
    </row>
    <row r="12" spans="1:18">
      <c r="A12" s="38"/>
      <c r="B12" s="17" t="s">
        <v>88</v>
      </c>
      <c r="C12" s="80" t="e">
        <f>E33</f>
        <v>#REF!</v>
      </c>
      <c r="D12" s="33"/>
      <c r="E12" s="17" t="s">
        <v>88</v>
      </c>
      <c r="F12" s="80" t="e">
        <f>E34</f>
        <v>#REF!</v>
      </c>
      <c r="G12" s="33"/>
      <c r="H12" s="17" t="s">
        <v>88</v>
      </c>
      <c r="I12" s="80" t="e">
        <f>E35</f>
        <v>#REF!</v>
      </c>
      <c r="J12" s="33"/>
      <c r="K12" s="17" t="s">
        <v>88</v>
      </c>
      <c r="L12" s="80" t="e">
        <f>E36</f>
        <v>#REF!</v>
      </c>
      <c r="M12" s="33"/>
      <c r="N12" s="17" t="s">
        <v>88</v>
      </c>
      <c r="O12" s="81" t="e">
        <f>E37</f>
        <v>#REF!</v>
      </c>
      <c r="P12" s="75"/>
    </row>
    <row r="13" spans="1:18" ht="25.5" customHeight="1">
      <c r="A13" s="77" t="s">
        <v>25</v>
      </c>
      <c r="B13" s="78" t="s">
        <v>28</v>
      </c>
      <c r="C13" s="78" t="s">
        <v>73</v>
      </c>
      <c r="D13" s="78" t="s">
        <v>74</v>
      </c>
      <c r="E13" s="78" t="s">
        <v>29</v>
      </c>
      <c r="F13" s="78" t="s">
        <v>75</v>
      </c>
      <c r="G13" s="78" t="s">
        <v>76</v>
      </c>
      <c r="H13" s="78" t="s">
        <v>30</v>
      </c>
      <c r="I13" s="78" t="s">
        <v>77</v>
      </c>
      <c r="J13" s="78" t="s">
        <v>78</v>
      </c>
      <c r="K13" s="78" t="s">
        <v>31</v>
      </c>
      <c r="L13" s="78" t="s">
        <v>79</v>
      </c>
      <c r="M13" s="78" t="s">
        <v>80</v>
      </c>
      <c r="N13" s="78" t="s">
        <v>32</v>
      </c>
      <c r="O13" s="78" t="s">
        <v>81</v>
      </c>
      <c r="P13" s="78" t="s">
        <v>82</v>
      </c>
    </row>
    <row r="14" spans="1:18" ht="25.5" customHeight="1">
      <c r="A14" s="82"/>
      <c r="B14" s="83" t="s">
        <v>27</v>
      </c>
      <c r="C14" s="85" t="e">
        <f>"=(A) x "&amp;ROUND(C12,4) &amp;"/ 6"</f>
        <v>#REF!</v>
      </c>
      <c r="D14" s="84"/>
      <c r="E14" s="83" t="s">
        <v>27</v>
      </c>
      <c r="F14" s="85" t="e">
        <f>"=(A) x "&amp;ROUND(F12,4) &amp;"/ 6"</f>
        <v>#REF!</v>
      </c>
      <c r="G14" s="84"/>
      <c r="H14" s="83" t="s">
        <v>27</v>
      </c>
      <c r="I14" s="85" t="e">
        <f>"=(A) x "&amp;ROUND(I12,4) &amp;"/ 6"</f>
        <v>#REF!</v>
      </c>
      <c r="J14" s="84"/>
      <c r="K14" s="83" t="s">
        <v>27</v>
      </c>
      <c r="L14" s="85" t="e">
        <f>"=(A) x "&amp;ROUND(L12,4) &amp;"/ 6"</f>
        <v>#REF!</v>
      </c>
      <c r="M14" s="84"/>
      <c r="N14" s="83" t="s">
        <v>27</v>
      </c>
      <c r="O14" s="85" t="e">
        <f>"=(A) x  "&amp;ROUND(O12,4) &amp;"/ 6"</f>
        <v>#REF!</v>
      </c>
      <c r="P14" s="84"/>
    </row>
    <row r="15" spans="1:18">
      <c r="A15" s="19"/>
      <c r="B15" s="86"/>
      <c r="C15" s="87" t="s">
        <v>89</v>
      </c>
      <c r="D15" s="88" t="s">
        <v>26</v>
      </c>
      <c r="E15" s="86"/>
      <c r="F15" s="87" t="s">
        <v>89</v>
      </c>
      <c r="G15" s="88" t="s">
        <v>26</v>
      </c>
      <c r="H15" s="86"/>
      <c r="I15" s="87" t="s">
        <v>89</v>
      </c>
      <c r="J15" s="88" t="s">
        <v>26</v>
      </c>
      <c r="K15" s="86"/>
      <c r="L15" s="87" t="s">
        <v>89</v>
      </c>
      <c r="M15" s="88" t="s">
        <v>26</v>
      </c>
      <c r="N15" s="86"/>
      <c r="O15" s="87" t="s">
        <v>89</v>
      </c>
      <c r="P15" s="88" t="s">
        <v>26</v>
      </c>
    </row>
    <row r="16" spans="1:18">
      <c r="A16" s="20">
        <v>38990</v>
      </c>
      <c r="B16" s="22" t="e">
        <v>#REF!</v>
      </c>
      <c r="C16" s="22" t="e">
        <f>(B16*$E$33)/6</f>
        <v>#REF!</v>
      </c>
      <c r="D16" s="23" t="e">
        <f>-C16</f>
        <v>#REF!</v>
      </c>
      <c r="E16" s="22"/>
      <c r="F16" s="22" t="e">
        <f>(E16*$E$34)/12</f>
        <v>#REF!</v>
      </c>
      <c r="G16" s="23" t="e">
        <f>-F16</f>
        <v>#REF!</v>
      </c>
      <c r="H16" s="22" t="e">
        <v>#REF!</v>
      </c>
      <c r="I16" s="22" t="e">
        <f>(H16*$E$35)/6</f>
        <v>#REF!</v>
      </c>
      <c r="J16" s="23" t="e">
        <f>-I16</f>
        <v>#REF!</v>
      </c>
      <c r="K16" s="22">
        <v>-2037</v>
      </c>
      <c r="L16" s="22" t="e">
        <f>(K16*$E$35)/6</f>
        <v>#REF!</v>
      </c>
      <c r="M16" s="23" t="e">
        <f>-L16</f>
        <v>#REF!</v>
      </c>
      <c r="N16" s="23">
        <v>376023</v>
      </c>
      <c r="O16" s="22" t="e">
        <f>(N16*$E$37)/6</f>
        <v>#REF!</v>
      </c>
      <c r="P16" s="23" t="e">
        <f>-O16</f>
        <v>#REF!</v>
      </c>
      <c r="R16" s="32"/>
    </row>
    <row r="17" spans="1:18">
      <c r="A17" s="20">
        <v>39021</v>
      </c>
      <c r="B17" s="22" t="e">
        <v>#REF!</v>
      </c>
      <c r="C17" s="22" t="e">
        <f t="shared" ref="C17:C28" si="0">(B17*$E$33)/6</f>
        <v>#REF!</v>
      </c>
      <c r="D17" s="23" t="e">
        <f>D16-C17</f>
        <v>#REF!</v>
      </c>
      <c r="E17" s="22" t="e">
        <v>#REF!</v>
      </c>
      <c r="F17" s="22" t="e">
        <f>(E17*$E$34)/6</f>
        <v>#REF!</v>
      </c>
      <c r="G17" s="23" t="e">
        <f>G16-F17</f>
        <v>#REF!</v>
      </c>
      <c r="H17" s="22" t="e">
        <v>#REF!</v>
      </c>
      <c r="I17" s="22" t="e">
        <f t="shared" ref="I17:I28" si="1">(H17*$E$35)/6</f>
        <v>#REF!</v>
      </c>
      <c r="J17" s="23" t="e">
        <f>J16-I17</f>
        <v>#REF!</v>
      </c>
      <c r="K17" s="22">
        <v>639.66</v>
      </c>
      <c r="L17" s="22" t="e">
        <f t="shared" ref="L17:L28" si="2">(K17*$E$35)/6</f>
        <v>#REF!</v>
      </c>
      <c r="M17" s="23" t="e">
        <f>M16-L17</f>
        <v>#REF!</v>
      </c>
      <c r="N17" s="23">
        <v>738761.1</v>
      </c>
      <c r="O17" s="22" t="e">
        <f t="shared" ref="O17:O28" si="3">(N17*$E$37)/6</f>
        <v>#REF!</v>
      </c>
      <c r="P17" s="23" t="e">
        <f>P16-O17</f>
        <v>#REF!</v>
      </c>
      <c r="R17" s="32"/>
    </row>
    <row r="18" spans="1:18">
      <c r="A18" s="20">
        <v>39051</v>
      </c>
      <c r="B18" s="22" t="e">
        <v>#REF!</v>
      </c>
      <c r="C18" s="22" t="e">
        <f t="shared" si="0"/>
        <v>#REF!</v>
      </c>
      <c r="D18" s="23" t="e">
        <f t="shared" ref="D18:D28" si="4">D17-C18</f>
        <v>#REF!</v>
      </c>
      <c r="E18" s="22" t="e">
        <v>#REF!</v>
      </c>
      <c r="F18" s="22" t="e">
        <f t="shared" ref="F18:F28" si="5">(E18*$E$34)/6</f>
        <v>#REF!</v>
      </c>
      <c r="G18" s="23" t="e">
        <f t="shared" ref="G18:G28" si="6">G17-F18</f>
        <v>#REF!</v>
      </c>
      <c r="H18" s="22" t="e">
        <v>#REF!</v>
      </c>
      <c r="I18" s="22" t="e">
        <f t="shared" si="1"/>
        <v>#REF!</v>
      </c>
      <c r="J18" s="23" t="e">
        <f t="shared" ref="J18:J28" si="7">J17-I18</f>
        <v>#REF!</v>
      </c>
      <c r="K18" s="22">
        <v>-8991.1200000000008</v>
      </c>
      <c r="L18" s="22" t="e">
        <f t="shared" si="2"/>
        <v>#REF!</v>
      </c>
      <c r="M18" s="23" t="e">
        <f t="shared" ref="M18:M28" si="8">M17-L18</f>
        <v>#REF!</v>
      </c>
      <c r="N18" s="23">
        <v>272378.5</v>
      </c>
      <c r="O18" s="22" t="e">
        <f t="shared" si="3"/>
        <v>#REF!</v>
      </c>
      <c r="P18" s="23" t="e">
        <f t="shared" ref="P18:P28" si="9">P17-O18</f>
        <v>#REF!</v>
      </c>
      <c r="R18" s="32"/>
    </row>
    <row r="19" spans="1:18">
      <c r="A19" s="20">
        <v>39082</v>
      </c>
      <c r="B19" s="22" t="e">
        <v>#REF!</v>
      </c>
      <c r="C19" s="22" t="e">
        <f t="shared" si="0"/>
        <v>#REF!</v>
      </c>
      <c r="D19" s="23" t="e">
        <f t="shared" si="4"/>
        <v>#REF!</v>
      </c>
      <c r="E19" s="22" t="e">
        <v>#REF!</v>
      </c>
      <c r="F19" s="22" t="e">
        <f t="shared" si="5"/>
        <v>#REF!</v>
      </c>
      <c r="G19" s="23" t="e">
        <f t="shared" si="6"/>
        <v>#REF!</v>
      </c>
      <c r="H19" s="22" t="e">
        <v>#REF!</v>
      </c>
      <c r="I19" s="22" t="e">
        <f t="shared" si="1"/>
        <v>#REF!</v>
      </c>
      <c r="J19" s="23" t="e">
        <f t="shared" si="7"/>
        <v>#REF!</v>
      </c>
      <c r="K19" s="22">
        <v>-204.71</v>
      </c>
      <c r="L19" s="22" t="e">
        <f t="shared" si="2"/>
        <v>#REF!</v>
      </c>
      <c r="M19" s="23" t="e">
        <f t="shared" si="8"/>
        <v>#REF!</v>
      </c>
      <c r="N19" s="23">
        <v>561444.25</v>
      </c>
      <c r="O19" s="22" t="e">
        <f t="shared" si="3"/>
        <v>#REF!</v>
      </c>
      <c r="P19" s="23" t="e">
        <f t="shared" si="9"/>
        <v>#REF!</v>
      </c>
      <c r="R19" s="32"/>
    </row>
    <row r="20" spans="1:18">
      <c r="A20" s="20">
        <v>39113</v>
      </c>
      <c r="B20" s="22" t="e">
        <v>#REF!</v>
      </c>
      <c r="C20" s="22" t="e">
        <f t="shared" si="0"/>
        <v>#REF!</v>
      </c>
      <c r="D20" s="23" t="e">
        <f t="shared" si="4"/>
        <v>#REF!</v>
      </c>
      <c r="E20" s="22" t="e">
        <v>#REF!</v>
      </c>
      <c r="F20" s="22" t="e">
        <f t="shared" si="5"/>
        <v>#REF!</v>
      </c>
      <c r="G20" s="23" t="e">
        <f t="shared" si="6"/>
        <v>#REF!</v>
      </c>
      <c r="H20" s="22" t="e">
        <v>#REF!</v>
      </c>
      <c r="I20" s="22" t="e">
        <f t="shared" si="1"/>
        <v>#REF!</v>
      </c>
      <c r="J20" s="23" t="e">
        <f t="shared" si="7"/>
        <v>#REF!</v>
      </c>
      <c r="K20" s="22">
        <v>2027.59</v>
      </c>
      <c r="L20" s="22" t="e">
        <f t="shared" si="2"/>
        <v>#REF!</v>
      </c>
      <c r="M20" s="23" t="e">
        <f t="shared" si="8"/>
        <v>#REF!</v>
      </c>
      <c r="N20" s="23">
        <v>106365.48</v>
      </c>
      <c r="O20" s="22" t="e">
        <f t="shared" si="3"/>
        <v>#REF!</v>
      </c>
      <c r="P20" s="23" t="e">
        <f t="shared" si="9"/>
        <v>#REF!</v>
      </c>
      <c r="R20" s="32"/>
    </row>
    <row r="21" spans="1:18">
      <c r="A21" s="20">
        <v>39141</v>
      </c>
      <c r="B21" s="22" t="e">
        <v>#REF!</v>
      </c>
      <c r="C21" s="22" t="e">
        <f t="shared" si="0"/>
        <v>#REF!</v>
      </c>
      <c r="D21" s="23" t="e">
        <f t="shared" si="4"/>
        <v>#REF!</v>
      </c>
      <c r="E21" s="22" t="e">
        <v>#REF!</v>
      </c>
      <c r="F21" s="22" t="e">
        <f t="shared" si="5"/>
        <v>#REF!</v>
      </c>
      <c r="G21" s="23" t="e">
        <f t="shared" si="6"/>
        <v>#REF!</v>
      </c>
      <c r="H21" s="22" t="e">
        <v>#REF!</v>
      </c>
      <c r="I21" s="22" t="e">
        <f t="shared" si="1"/>
        <v>#REF!</v>
      </c>
      <c r="J21" s="23" t="e">
        <f t="shared" si="7"/>
        <v>#REF!</v>
      </c>
      <c r="K21" s="22">
        <v>-4033.31</v>
      </c>
      <c r="L21" s="22" t="e">
        <f t="shared" si="2"/>
        <v>#REF!</v>
      </c>
      <c r="M21" s="23" t="e">
        <f t="shared" si="8"/>
        <v>#REF!</v>
      </c>
      <c r="N21" s="23">
        <v>128852.56</v>
      </c>
      <c r="O21" s="22" t="e">
        <f t="shared" si="3"/>
        <v>#REF!</v>
      </c>
      <c r="P21" s="23" t="e">
        <f t="shared" si="9"/>
        <v>#REF!</v>
      </c>
      <c r="R21" s="32"/>
    </row>
    <row r="22" spans="1:18">
      <c r="A22" s="20">
        <v>39172</v>
      </c>
      <c r="B22" s="22" t="e">
        <v>#REF!</v>
      </c>
      <c r="C22" s="22" t="e">
        <f t="shared" si="0"/>
        <v>#REF!</v>
      </c>
      <c r="D22" s="23" t="e">
        <f t="shared" si="4"/>
        <v>#REF!</v>
      </c>
      <c r="E22" s="22" t="e">
        <v>#REF!</v>
      </c>
      <c r="F22" s="22" t="e">
        <f t="shared" si="5"/>
        <v>#REF!</v>
      </c>
      <c r="G22" s="23" t="e">
        <f t="shared" si="6"/>
        <v>#REF!</v>
      </c>
      <c r="H22" s="22" t="e">
        <v>#REF!</v>
      </c>
      <c r="I22" s="22" t="e">
        <f t="shared" si="1"/>
        <v>#REF!</v>
      </c>
      <c r="J22" s="23" t="e">
        <f t="shared" si="7"/>
        <v>#REF!</v>
      </c>
      <c r="K22" s="22">
        <v>388091.19</v>
      </c>
      <c r="L22" s="22" t="e">
        <f t="shared" si="2"/>
        <v>#REF!</v>
      </c>
      <c r="M22" s="23" t="e">
        <f t="shared" si="8"/>
        <v>#REF!</v>
      </c>
      <c r="N22" s="23">
        <v>2317821.94</v>
      </c>
      <c r="O22" s="22" t="e">
        <f t="shared" si="3"/>
        <v>#REF!</v>
      </c>
      <c r="P22" s="23" t="e">
        <f t="shared" si="9"/>
        <v>#REF!</v>
      </c>
      <c r="R22" s="32"/>
    </row>
    <row r="23" spans="1:18">
      <c r="A23" s="20">
        <v>39202</v>
      </c>
      <c r="B23" s="22" t="e">
        <v>#REF!</v>
      </c>
      <c r="C23" s="22" t="e">
        <f t="shared" si="0"/>
        <v>#REF!</v>
      </c>
      <c r="D23" s="23" t="e">
        <f t="shared" si="4"/>
        <v>#REF!</v>
      </c>
      <c r="E23" s="22" t="e">
        <v>#REF!</v>
      </c>
      <c r="F23" s="22" t="e">
        <f t="shared" si="5"/>
        <v>#REF!</v>
      </c>
      <c r="G23" s="23" t="e">
        <f t="shared" si="6"/>
        <v>#REF!</v>
      </c>
      <c r="H23" s="22" t="e">
        <v>#REF!</v>
      </c>
      <c r="I23" s="22" t="e">
        <f t="shared" si="1"/>
        <v>#REF!</v>
      </c>
      <c r="J23" s="23" t="e">
        <f t="shared" si="7"/>
        <v>#REF!</v>
      </c>
      <c r="K23" s="22">
        <v>8281.81</v>
      </c>
      <c r="L23" s="22" t="e">
        <f t="shared" si="2"/>
        <v>#REF!</v>
      </c>
      <c r="M23" s="23" t="e">
        <f t="shared" si="8"/>
        <v>#REF!</v>
      </c>
      <c r="N23" s="23">
        <v>78288.36</v>
      </c>
      <c r="O23" s="22" t="e">
        <f t="shared" si="3"/>
        <v>#REF!</v>
      </c>
      <c r="P23" s="23" t="e">
        <f t="shared" si="9"/>
        <v>#REF!</v>
      </c>
      <c r="R23" s="32"/>
    </row>
    <row r="24" spans="1:18">
      <c r="A24" s="20">
        <v>39233</v>
      </c>
      <c r="B24" s="22" t="e">
        <v>#REF!</v>
      </c>
      <c r="C24" s="22" t="e">
        <f t="shared" si="0"/>
        <v>#REF!</v>
      </c>
      <c r="D24" s="23" t="e">
        <f t="shared" si="4"/>
        <v>#REF!</v>
      </c>
      <c r="E24" s="22" t="e">
        <v>#REF!</v>
      </c>
      <c r="F24" s="22" t="e">
        <f t="shared" si="5"/>
        <v>#REF!</v>
      </c>
      <c r="G24" s="23" t="e">
        <f t="shared" si="6"/>
        <v>#REF!</v>
      </c>
      <c r="H24" s="22" t="e">
        <v>#REF!</v>
      </c>
      <c r="I24" s="22" t="e">
        <f t="shared" si="1"/>
        <v>#REF!</v>
      </c>
      <c r="J24" s="23" t="e">
        <f t="shared" si="7"/>
        <v>#REF!</v>
      </c>
      <c r="K24" s="22">
        <v>-394420.1</v>
      </c>
      <c r="L24" s="22" t="e">
        <f t="shared" si="2"/>
        <v>#REF!</v>
      </c>
      <c r="M24" s="23" t="e">
        <f t="shared" si="8"/>
        <v>#REF!</v>
      </c>
      <c r="N24" s="23">
        <v>3715953.94</v>
      </c>
      <c r="O24" s="22" t="e">
        <f t="shared" si="3"/>
        <v>#REF!</v>
      </c>
      <c r="P24" s="23" t="e">
        <f t="shared" si="9"/>
        <v>#REF!</v>
      </c>
      <c r="R24" s="32"/>
    </row>
    <row r="25" spans="1:18">
      <c r="A25" s="20">
        <v>39263</v>
      </c>
      <c r="B25" s="22" t="e">
        <v>#REF!</v>
      </c>
      <c r="C25" s="22" t="e">
        <f t="shared" si="0"/>
        <v>#REF!</v>
      </c>
      <c r="D25" s="23" t="e">
        <f t="shared" si="4"/>
        <v>#REF!</v>
      </c>
      <c r="E25" s="22" t="e">
        <v>#REF!</v>
      </c>
      <c r="F25" s="22" t="e">
        <f t="shared" si="5"/>
        <v>#REF!</v>
      </c>
      <c r="G25" s="23" t="e">
        <f t="shared" si="6"/>
        <v>#REF!</v>
      </c>
      <c r="H25" s="22" t="e">
        <v>#REF!</v>
      </c>
      <c r="I25" s="22" t="e">
        <f t="shared" si="1"/>
        <v>#REF!</v>
      </c>
      <c r="J25" s="23" t="e">
        <f t="shared" si="7"/>
        <v>#REF!</v>
      </c>
      <c r="K25" s="22">
        <v>97141.57</v>
      </c>
      <c r="L25" s="22" t="e">
        <f t="shared" si="2"/>
        <v>#REF!</v>
      </c>
      <c r="M25" s="23" t="e">
        <f t="shared" si="8"/>
        <v>#REF!</v>
      </c>
      <c r="N25" s="23">
        <v>431214.4</v>
      </c>
      <c r="O25" s="22" t="e">
        <f t="shared" si="3"/>
        <v>#REF!</v>
      </c>
      <c r="P25" s="23" t="e">
        <f t="shared" si="9"/>
        <v>#REF!</v>
      </c>
      <c r="R25" s="32"/>
    </row>
    <row r="26" spans="1:18">
      <c r="A26" s="20">
        <v>39294</v>
      </c>
      <c r="B26" s="22" t="e">
        <v>#REF!</v>
      </c>
      <c r="C26" s="22" t="e">
        <f t="shared" si="0"/>
        <v>#REF!</v>
      </c>
      <c r="D26" s="23" t="e">
        <f t="shared" si="4"/>
        <v>#REF!</v>
      </c>
      <c r="E26" s="22" t="e">
        <v>#REF!</v>
      </c>
      <c r="F26" s="22" t="e">
        <f t="shared" si="5"/>
        <v>#REF!</v>
      </c>
      <c r="G26" s="23" t="e">
        <f t="shared" si="6"/>
        <v>#REF!</v>
      </c>
      <c r="H26" s="22" t="e">
        <v>#REF!</v>
      </c>
      <c r="I26" s="22" t="e">
        <f t="shared" si="1"/>
        <v>#REF!</v>
      </c>
      <c r="J26" s="23" t="e">
        <f t="shared" si="7"/>
        <v>#REF!</v>
      </c>
      <c r="K26" s="22">
        <v>765615.72</v>
      </c>
      <c r="L26" s="22" t="e">
        <f t="shared" si="2"/>
        <v>#REF!</v>
      </c>
      <c r="M26" s="23" t="e">
        <f t="shared" si="8"/>
        <v>#REF!</v>
      </c>
      <c r="N26" s="23">
        <v>3485176.23</v>
      </c>
      <c r="O26" s="22" t="e">
        <f t="shared" si="3"/>
        <v>#REF!</v>
      </c>
      <c r="P26" s="23" t="e">
        <f t="shared" si="9"/>
        <v>#REF!</v>
      </c>
      <c r="R26" s="32"/>
    </row>
    <row r="27" spans="1:18">
      <c r="A27" s="20">
        <v>39325</v>
      </c>
      <c r="B27" s="22" t="e">
        <v>#REF!</v>
      </c>
      <c r="C27" s="22" t="e">
        <f t="shared" si="0"/>
        <v>#REF!</v>
      </c>
      <c r="D27" s="23" t="e">
        <f t="shared" si="4"/>
        <v>#REF!</v>
      </c>
      <c r="E27" s="22" t="e">
        <v>#REF!</v>
      </c>
      <c r="F27" s="22" t="e">
        <f t="shared" si="5"/>
        <v>#REF!</v>
      </c>
      <c r="G27" s="23" t="e">
        <f t="shared" si="6"/>
        <v>#REF!</v>
      </c>
      <c r="H27" s="22" t="e">
        <v>#REF!</v>
      </c>
      <c r="I27" s="22" t="e">
        <f t="shared" si="1"/>
        <v>#REF!</v>
      </c>
      <c r="J27" s="23" t="e">
        <f t="shared" si="7"/>
        <v>#REF!</v>
      </c>
      <c r="K27" s="22">
        <v>10894.45</v>
      </c>
      <c r="L27" s="22" t="e">
        <f t="shared" si="2"/>
        <v>#REF!</v>
      </c>
      <c r="M27" s="23" t="e">
        <f t="shared" si="8"/>
        <v>#REF!</v>
      </c>
      <c r="N27" s="23">
        <v>323237.15000000002</v>
      </c>
      <c r="O27" s="22" t="e">
        <f t="shared" si="3"/>
        <v>#REF!</v>
      </c>
      <c r="P27" s="23" t="e">
        <f t="shared" si="9"/>
        <v>#REF!</v>
      </c>
      <c r="R27" s="32"/>
    </row>
    <row r="28" spans="1:18">
      <c r="A28" s="20">
        <v>39355</v>
      </c>
      <c r="B28" s="22" t="e">
        <v>#REF!</v>
      </c>
      <c r="C28" s="22" t="e">
        <f t="shared" si="0"/>
        <v>#REF!</v>
      </c>
      <c r="D28" s="23" t="e">
        <f t="shared" si="4"/>
        <v>#REF!</v>
      </c>
      <c r="E28" s="22" t="e">
        <v>#REF!</v>
      </c>
      <c r="F28" s="22" t="e">
        <f t="shared" si="5"/>
        <v>#REF!</v>
      </c>
      <c r="G28" s="23" t="e">
        <f t="shared" si="6"/>
        <v>#REF!</v>
      </c>
      <c r="H28" s="22" t="e">
        <v>#REF!</v>
      </c>
      <c r="I28" s="22" t="e">
        <f t="shared" si="1"/>
        <v>#REF!</v>
      </c>
      <c r="J28" s="23" t="e">
        <f t="shared" si="7"/>
        <v>#REF!</v>
      </c>
      <c r="K28" s="22">
        <v>946.28</v>
      </c>
      <c r="L28" s="22" t="e">
        <f t="shared" si="2"/>
        <v>#REF!</v>
      </c>
      <c r="M28" s="23" t="e">
        <f t="shared" si="8"/>
        <v>#REF!</v>
      </c>
      <c r="N28" s="23">
        <v>5540654.5899999999</v>
      </c>
      <c r="O28" s="22" t="e">
        <f t="shared" si="3"/>
        <v>#REF!</v>
      </c>
      <c r="P28" s="23" t="e">
        <f t="shared" si="9"/>
        <v>#REF!</v>
      </c>
      <c r="R28" s="32"/>
    </row>
    <row r="29" spans="1:18">
      <c r="A29" s="24"/>
      <c r="B29" s="21"/>
      <c r="C29" s="22"/>
      <c r="D29" s="23"/>
      <c r="E29" s="22"/>
      <c r="F29" s="22"/>
      <c r="G29" s="23"/>
      <c r="H29" s="22"/>
      <c r="I29" s="22"/>
      <c r="J29" s="79"/>
      <c r="K29" s="22"/>
      <c r="L29" s="22"/>
      <c r="M29" s="79"/>
      <c r="N29" s="22"/>
      <c r="O29" s="22"/>
      <c r="P29" s="79"/>
      <c r="R29" s="32"/>
    </row>
    <row r="30" spans="1:18">
      <c r="A30" s="30" t="s">
        <v>26</v>
      </c>
      <c r="B30" s="28" t="e">
        <f t="shared" ref="B30:M30" si="10">(B16+B28+SUM(B17:B27)*2)/24</f>
        <v>#REF!</v>
      </c>
      <c r="C30" s="25" t="e">
        <f>SUM(C17:C28)</f>
        <v>#REF!</v>
      </c>
      <c r="D30" s="28" t="e">
        <f t="shared" si="10"/>
        <v>#REF!</v>
      </c>
      <c r="E30" s="26" t="e">
        <f t="shared" si="10"/>
        <v>#REF!</v>
      </c>
      <c r="F30" s="25" t="e">
        <f>SUM(F17:F28)</f>
        <v>#REF!</v>
      </c>
      <c r="G30" s="28" t="e">
        <f t="shared" si="10"/>
        <v>#REF!</v>
      </c>
      <c r="H30" s="26" t="e">
        <f t="shared" si="10"/>
        <v>#REF!</v>
      </c>
      <c r="I30" s="25" t="e">
        <f>SUM(I17:I28)</f>
        <v>#REF!</v>
      </c>
      <c r="J30" s="26" t="e">
        <f t="shared" si="10"/>
        <v>#REF!</v>
      </c>
      <c r="K30" s="26">
        <f t="shared" si="10"/>
        <v>72041.449166666673</v>
      </c>
      <c r="L30" s="25" t="e">
        <f>SUM(L17:L28)</f>
        <v>#REF!</v>
      </c>
      <c r="M30" s="26" t="e">
        <f t="shared" si="10"/>
        <v>#REF!</v>
      </c>
      <c r="N30" s="27">
        <f>(N16+N28+SUM(N17:N27)*2)/24</f>
        <v>1259819.3920833336</v>
      </c>
      <c r="O30" s="25" t="e">
        <f>SUM(O17:O28)</f>
        <v>#REF!</v>
      </c>
      <c r="P30" s="27" t="e">
        <f>(P16+P28+SUM(P17:P27)*2)/24</f>
        <v>#REF!</v>
      </c>
      <c r="R30" s="32"/>
    </row>
    <row r="32" spans="1:18">
      <c r="E32" s="36" t="s">
        <v>60</v>
      </c>
      <c r="G32" s="37" t="s">
        <v>83</v>
      </c>
      <c r="H32" s="37" t="s">
        <v>84</v>
      </c>
      <c r="I32" s="37" t="s">
        <v>85</v>
      </c>
    </row>
    <row r="33" spans="1:16">
      <c r="A33" s="35" t="s">
        <v>28</v>
      </c>
      <c r="B33" t="s">
        <v>40</v>
      </c>
      <c r="E33" s="40" t="e">
        <v>#REF!</v>
      </c>
      <c r="G33" s="39" t="e">
        <f>B30</f>
        <v>#REF!</v>
      </c>
      <c r="H33" s="39" t="e">
        <f>C30</f>
        <v>#REF!</v>
      </c>
      <c r="I33" s="39" t="e">
        <f>D30</f>
        <v>#REF!</v>
      </c>
    </row>
    <row r="34" spans="1:16">
      <c r="A34" s="35" t="s">
        <v>29</v>
      </c>
      <c r="B34" t="s">
        <v>37</v>
      </c>
      <c r="E34" s="40" t="e">
        <v>#REF!</v>
      </c>
      <c r="G34" s="39" t="e">
        <f>E30</f>
        <v>#REF!</v>
      </c>
      <c r="H34" s="39" t="e">
        <f>F30</f>
        <v>#REF!</v>
      </c>
      <c r="I34" s="39" t="e">
        <f>G30</f>
        <v>#REF!</v>
      </c>
    </row>
    <row r="35" spans="1:16">
      <c r="A35" s="35" t="s">
        <v>30</v>
      </c>
      <c r="B35" t="s">
        <v>38</v>
      </c>
      <c r="E35" s="40" t="e">
        <v>#REF!</v>
      </c>
      <c r="G35" s="39" t="e">
        <f>H30</f>
        <v>#REF!</v>
      </c>
      <c r="H35" s="39" t="e">
        <f>I30</f>
        <v>#REF!</v>
      </c>
      <c r="I35" s="39" t="e">
        <f>J30</f>
        <v>#REF!</v>
      </c>
    </row>
    <row r="36" spans="1:16">
      <c r="A36" s="35" t="s">
        <v>31</v>
      </c>
      <c r="B36" t="s">
        <v>39</v>
      </c>
      <c r="E36" s="40" t="e">
        <v>#REF!</v>
      </c>
      <c r="G36" s="39">
        <f>K30</f>
        <v>72041.449166666673</v>
      </c>
      <c r="H36" s="39" t="e">
        <f>L30</f>
        <v>#REF!</v>
      </c>
      <c r="I36" s="39" t="e">
        <f>M30</f>
        <v>#REF!</v>
      </c>
    </row>
    <row r="37" spans="1:16">
      <c r="A37" s="35" t="s">
        <v>32</v>
      </c>
      <c r="B37" t="s">
        <v>36</v>
      </c>
      <c r="E37" s="40" t="e">
        <v>#REF!</v>
      </c>
      <c r="G37" s="76">
        <f>N30</f>
        <v>1259819.3920833336</v>
      </c>
      <c r="H37" s="76" t="e">
        <f>O30</f>
        <v>#REF!</v>
      </c>
      <c r="I37" s="76" t="e">
        <f>P30</f>
        <v>#REF!</v>
      </c>
    </row>
    <row r="38" spans="1:16">
      <c r="A38" s="35"/>
      <c r="E38" t="s">
        <v>86</v>
      </c>
      <c r="G38" s="39" t="e">
        <f>SUM(G33:G37)</f>
        <v>#REF!</v>
      </c>
      <c r="H38" s="39" t="e">
        <f>SUM(H33:H37)</f>
        <v>#REF!</v>
      </c>
      <c r="I38" s="39" t="e">
        <f>SUM(I33:I37)</f>
        <v>#REF!</v>
      </c>
      <c r="J38" s="34"/>
      <c r="K38" s="34"/>
      <c r="L38" s="34"/>
      <c r="M38" s="34"/>
      <c r="N38" s="34"/>
      <c r="O38" s="34"/>
      <c r="P38" s="34"/>
    </row>
    <row r="39" spans="1:16">
      <c r="A39" s="35"/>
      <c r="E39" t="s">
        <v>87</v>
      </c>
      <c r="G39" s="76" t="e">
        <v>#REF!</v>
      </c>
      <c r="H39" s="76" t="e">
        <v>#REF!</v>
      </c>
      <c r="I39" s="76" t="e">
        <v>#REF!</v>
      </c>
    </row>
    <row r="40" spans="1:16">
      <c r="A40" s="35"/>
      <c r="E40" t="s">
        <v>15</v>
      </c>
      <c r="G40" s="39" t="e">
        <f>SUM(G38:G39)</f>
        <v>#REF!</v>
      </c>
      <c r="H40" s="39" t="e">
        <f>SUM(H38:H39)</f>
        <v>#REF!</v>
      </c>
      <c r="I40" s="39" t="e">
        <f>SUM(I38:I39)</f>
        <v>#REF!</v>
      </c>
    </row>
    <row r="41" spans="1:16">
      <c r="A41" s="35"/>
      <c r="G41" s="39"/>
    </row>
    <row r="42" spans="1:16">
      <c r="A42" s="35"/>
      <c r="G42" s="62"/>
    </row>
    <row r="45" spans="1:16">
      <c r="C45" s="40"/>
    </row>
  </sheetData>
  <customSheetViews>
    <customSheetView guid="{6DB0C51A-CF2E-4524-B123-6AE855E84E26}" state="hidden">
      <selection activeCell="G40" sqref="G40"/>
      <pageMargins left="0.75" right="0.75" top="1" bottom="1" header="0.5" footer="0.5"/>
      <headerFooter alignWithMargins="0"/>
    </customSheetView>
    <customSheetView guid="{D9FD7722-CADB-4741-856E-53C9C7AFA1D2}" state="hidden">
      <selection activeCell="G40" sqref="G40"/>
      <pageMargins left="0.75" right="0.75" top="1" bottom="1" header="0.5" footer="0.5"/>
      <headerFooter alignWithMargins="0"/>
    </customSheetView>
  </customSheetViews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7"/>
  <dimension ref="A1:F44"/>
  <sheetViews>
    <sheetView topLeftCell="A3" workbookViewId="0">
      <selection activeCell="O42" sqref="O42"/>
    </sheetView>
  </sheetViews>
  <sheetFormatPr defaultRowHeight="12.75"/>
  <cols>
    <col min="1" max="1" width="24.140625" style="41" customWidth="1"/>
    <col min="2" max="2" width="16.140625" style="41" customWidth="1"/>
    <col min="3" max="3" width="12.7109375" style="41" customWidth="1"/>
    <col min="4" max="4" width="14.42578125" style="41" customWidth="1"/>
    <col min="5" max="5" width="13.5703125" style="41" customWidth="1"/>
    <col min="6" max="255" width="12.7109375" style="41" customWidth="1"/>
    <col min="256" max="16384" width="9.140625" style="41"/>
  </cols>
  <sheetData>
    <row r="1" spans="1:5">
      <c r="A1" s="41" t="s">
        <v>33</v>
      </c>
    </row>
    <row r="2" spans="1:5">
      <c r="A2" s="41" t="s">
        <v>41</v>
      </c>
    </row>
    <row r="3" spans="1:5">
      <c r="A3" s="41" t="s">
        <v>42</v>
      </c>
    </row>
    <row r="6" spans="1:5">
      <c r="A6" s="42" t="s">
        <v>43</v>
      </c>
      <c r="B6" s="42"/>
      <c r="C6" s="42"/>
      <c r="D6" s="42"/>
      <c r="E6" s="42"/>
    </row>
    <row r="7" spans="1:5">
      <c r="A7" s="41" t="s">
        <v>44</v>
      </c>
      <c r="B7" s="41">
        <v>72564653</v>
      </c>
    </row>
    <row r="8" spans="1:5">
      <c r="A8" s="41" t="s">
        <v>45</v>
      </c>
      <c r="B8" s="41">
        <f>+B7/0.35</f>
        <v>207327580</v>
      </c>
    </row>
    <row r="10" spans="1:5">
      <c r="A10" s="41" t="s">
        <v>46</v>
      </c>
    </row>
    <row r="11" spans="1:5">
      <c r="A11" s="41" t="s">
        <v>47</v>
      </c>
      <c r="B11" s="41">
        <v>6998011</v>
      </c>
      <c r="C11" s="43">
        <f>ROUND(+B11/B13,5)</f>
        <v>3.5430000000000003E-2</v>
      </c>
      <c r="D11" s="41">
        <f>+C11*B8</f>
        <v>7345616.1594000002</v>
      </c>
    </row>
    <row r="12" spans="1:5">
      <c r="A12" s="41" t="s">
        <v>48</v>
      </c>
      <c r="B12" s="41">
        <v>190526694</v>
      </c>
      <c r="C12" s="43">
        <f>1-+C11</f>
        <v>0.96457000000000004</v>
      </c>
      <c r="D12" s="41">
        <f>+C12*B8</f>
        <v>199981963.84060001</v>
      </c>
    </row>
    <row r="13" spans="1:5">
      <c r="B13" s="42">
        <f>SUM(B11:B12)</f>
        <v>197524705</v>
      </c>
      <c r="C13" s="44">
        <f>SUM(C11:C12)</f>
        <v>1</v>
      </c>
      <c r="D13" s="42">
        <f>SUM(D11:D12)</f>
        <v>207327580</v>
      </c>
    </row>
    <row r="15" spans="1:5">
      <c r="A15" s="41" t="s">
        <v>49</v>
      </c>
    </row>
    <row r="16" spans="1:5">
      <c r="A16" s="41" t="s">
        <v>35</v>
      </c>
      <c r="B16" s="41">
        <v>93974833</v>
      </c>
      <c r="C16" s="43">
        <f>ROUND(+B16/B18,5)</f>
        <v>0.92832000000000003</v>
      </c>
      <c r="D16" s="41">
        <f>+C16*D11</f>
        <v>6819082.3930942081</v>
      </c>
    </row>
    <row r="17" spans="1:4">
      <c r="A17" s="41" t="s">
        <v>34</v>
      </c>
      <c r="B17" s="41">
        <v>7256107</v>
      </c>
      <c r="C17" s="43">
        <f>1-+C16</f>
        <v>7.1679999999999966E-2</v>
      </c>
      <c r="D17" s="41">
        <f>+C17*D11</f>
        <v>526533.7663057918</v>
      </c>
    </row>
    <row r="18" spans="1:4">
      <c r="B18" s="42">
        <f>SUM(B16:B17)</f>
        <v>101230940</v>
      </c>
      <c r="C18" s="44">
        <f>SUM(C16:C17)</f>
        <v>1</v>
      </c>
      <c r="D18" s="42">
        <f>SUM(D16:D17)</f>
        <v>7345616.1594000002</v>
      </c>
    </row>
    <row r="20" spans="1:4">
      <c r="A20" s="41" t="s">
        <v>50</v>
      </c>
    </row>
    <row r="21" spans="1:4">
      <c r="A21" s="41" t="s">
        <v>35</v>
      </c>
      <c r="B21" s="41">
        <v>1070648416</v>
      </c>
      <c r="C21" s="43">
        <f>ROUND(+B21/B23,5)</f>
        <v>0.38943</v>
      </c>
      <c r="D21" s="41">
        <f>+C21*D12</f>
        <v>77878976.178444862</v>
      </c>
    </row>
    <row r="22" spans="1:4">
      <c r="A22" s="41" t="s">
        <v>34</v>
      </c>
      <c r="B22" s="41">
        <v>1678610159</v>
      </c>
      <c r="C22" s="43">
        <f>1-+C21</f>
        <v>0.61057000000000006</v>
      </c>
      <c r="D22" s="41">
        <f>+C22*D12</f>
        <v>122102987.66215517</v>
      </c>
    </row>
    <row r="23" spans="1:4">
      <c r="B23" s="42">
        <f>SUM(B21:B22)</f>
        <v>2749258575</v>
      </c>
      <c r="C23" s="44">
        <f>SUM(C21:C22)</f>
        <v>1</v>
      </c>
      <c r="D23" s="42">
        <f>SUM(D21:D22)</f>
        <v>199981963.84060001</v>
      </c>
    </row>
    <row r="25" spans="1:4">
      <c r="A25" s="41" t="s">
        <v>51</v>
      </c>
    </row>
    <row r="26" spans="1:4">
      <c r="A26" s="41" t="s">
        <v>52</v>
      </c>
      <c r="B26" s="41">
        <v>5669593</v>
      </c>
      <c r="C26" s="43"/>
    </row>
    <row r="27" spans="1:4">
      <c r="A27" s="41" t="s">
        <v>53</v>
      </c>
      <c r="B27" s="41">
        <f>+B17-B26</f>
        <v>1586514</v>
      </c>
    </row>
    <row r="28" spans="1:4">
      <c r="B28" s="42">
        <f>SUM(B26:B27)</f>
        <v>7256107</v>
      </c>
    </row>
    <row r="30" spans="1:4">
      <c r="A30" s="41" t="s">
        <v>54</v>
      </c>
    </row>
    <row r="31" spans="1:4">
      <c r="A31" s="41" t="s">
        <v>52</v>
      </c>
      <c r="B31" s="41">
        <v>169986997</v>
      </c>
    </row>
    <row r="32" spans="1:4">
      <c r="A32" s="41" t="s">
        <v>53</v>
      </c>
      <c r="B32" s="41">
        <f>+B22-B31</f>
        <v>1508623162</v>
      </c>
    </row>
    <row r="33" spans="1:6">
      <c r="B33" s="42">
        <f>SUM(B31:B32)</f>
        <v>1678610159</v>
      </c>
    </row>
    <row r="35" spans="1:6">
      <c r="A35" s="42" t="s">
        <v>55</v>
      </c>
      <c r="B35" s="42"/>
      <c r="C35" s="42"/>
      <c r="D35" s="42"/>
      <c r="E35" s="42"/>
    </row>
    <row r="36" spans="1:6">
      <c r="A36" s="45" t="s">
        <v>56</v>
      </c>
      <c r="B36" s="45"/>
      <c r="C36" s="45"/>
      <c r="D36" s="45"/>
      <c r="E36" s="46" t="s">
        <v>57</v>
      </c>
      <c r="F36" s="45"/>
    </row>
    <row r="37" spans="1:6">
      <c r="A37" s="41" t="s">
        <v>35</v>
      </c>
      <c r="B37" s="41">
        <f>+D16+D21</f>
        <v>84698058.571539074</v>
      </c>
      <c r="C37" s="47">
        <f>ROUND(+B37/B39,5)</f>
        <v>0.40851999999999999</v>
      </c>
      <c r="E37" s="41">
        <f>+B37*0.35</f>
        <v>29644320.500038672</v>
      </c>
    </row>
    <row r="38" spans="1:6">
      <c r="A38" s="41" t="s">
        <v>34</v>
      </c>
      <c r="B38" s="41">
        <f>+D17+D22</f>
        <v>122629521.42846096</v>
      </c>
      <c r="C38" s="47">
        <f>1-+C37</f>
        <v>0.59148000000000001</v>
      </c>
      <c r="E38" s="41">
        <f>+B38*0.35</f>
        <v>42920332.499961331</v>
      </c>
    </row>
    <row r="39" spans="1:6">
      <c r="B39" s="42">
        <f>SUM(B37:B38)</f>
        <v>207327580.00000003</v>
      </c>
      <c r="C39" s="44">
        <f>SUM(C37:C38)</f>
        <v>1</v>
      </c>
      <c r="E39" s="42">
        <f>SUM(E37:E38)</f>
        <v>72564653</v>
      </c>
    </row>
    <row r="41" spans="1:6">
      <c r="A41" s="41" t="s">
        <v>58</v>
      </c>
    </row>
    <row r="42" spans="1:6">
      <c r="A42" s="41" t="s">
        <v>52</v>
      </c>
      <c r="B42" s="41">
        <f>+B26+B31</f>
        <v>175656590</v>
      </c>
      <c r="C42" s="89">
        <f>ROUND(+B42/B44,5)</f>
        <v>0.10419</v>
      </c>
      <c r="D42" s="41">
        <f>+C42*B38</f>
        <v>12776769.837631347</v>
      </c>
      <c r="E42" s="41">
        <f>+D42*0.35</f>
        <v>4471869.4431709712</v>
      </c>
    </row>
    <row r="43" spans="1:6">
      <c r="A43" s="41" t="s">
        <v>53</v>
      </c>
      <c r="B43" s="41">
        <f>+B27+B32</f>
        <v>1510209676</v>
      </c>
      <c r="C43" s="43">
        <f>1-+C42</f>
        <v>0.89581</v>
      </c>
      <c r="D43" s="41">
        <f>+C43*B38</f>
        <v>109852751.59082961</v>
      </c>
      <c r="E43" s="41">
        <f>+D43*0.35</f>
        <v>38448463.056790359</v>
      </c>
    </row>
    <row r="44" spans="1:6">
      <c r="B44" s="42">
        <f>SUM(B42:B43)</f>
        <v>1685866266</v>
      </c>
      <c r="C44" s="44">
        <f>SUM(C42:C43)</f>
        <v>1</v>
      </c>
      <c r="D44" s="42">
        <f>SUM(D42:D43)</f>
        <v>122629521.42846096</v>
      </c>
      <c r="E44" s="42">
        <f>SUM(E42:E43)</f>
        <v>42920332.499961331</v>
      </c>
    </row>
  </sheetData>
  <customSheetViews>
    <customSheetView guid="{6DB0C51A-CF2E-4524-B123-6AE855E84E26}" state="hidden" topLeftCell="A3">
      <selection activeCell="O42" sqref="O42"/>
      <pageMargins left="0.75" right="0.75" top="1" bottom="1" header="0.5" footer="0.5"/>
      <pageSetup orientation="portrait" r:id="rId1"/>
      <headerFooter alignWithMargins="0"/>
    </customSheetView>
    <customSheetView guid="{D9FD7722-CADB-4741-856E-53C9C7AFA1D2}" state="hidden" topLeftCell="A3">
      <selection activeCell="O42" sqref="O42"/>
      <pageMargins left="0.75" right="0.75" top="1" bottom="1" header="0.5" footer="0.5"/>
      <pageSetup orientation="portrait" r:id="rId2"/>
      <headerFooter alignWithMargins="0"/>
    </customSheetView>
  </customSheetViews>
  <phoneticPr fontId="6" type="noConversion"/>
  <pageMargins left="0.75" right="0.75" top="1" bottom="1" header="0.5" footer="0.5"/>
  <pageSetup orientation="portrait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M21" sqref="M21"/>
    </sheetView>
  </sheetViews>
  <sheetFormatPr defaultColWidth="11.42578125" defaultRowHeight="12.75"/>
  <cols>
    <col min="1" max="9" width="11.42578125" customWidth="1"/>
    <col min="10" max="10" width="19.28515625" style="141" bestFit="1" customWidth="1"/>
  </cols>
  <sheetData>
    <row r="1" spans="1:13" ht="15.75">
      <c r="A1" s="142" t="s">
        <v>124</v>
      </c>
    </row>
    <row r="2" spans="1:13">
      <c r="A2" s="105" t="s">
        <v>125</v>
      </c>
      <c r="B2" s="105" t="s">
        <v>126</v>
      </c>
      <c r="C2" s="105" t="s">
        <v>127</v>
      </c>
      <c r="D2" s="105" t="s">
        <v>128</v>
      </c>
      <c r="E2" s="105" t="s">
        <v>129</v>
      </c>
      <c r="F2" s="105" t="s">
        <v>130</v>
      </c>
      <c r="G2" s="105" t="s">
        <v>131</v>
      </c>
      <c r="H2" s="105" t="s">
        <v>132</v>
      </c>
      <c r="I2" s="105" t="s">
        <v>133</v>
      </c>
      <c r="J2" s="143" t="s">
        <v>134</v>
      </c>
      <c r="K2" s="105" t="s">
        <v>135</v>
      </c>
      <c r="L2" s="105" t="s">
        <v>136</v>
      </c>
      <c r="M2" s="105" t="s">
        <v>137</v>
      </c>
    </row>
    <row r="3" spans="1:13">
      <c r="A3" s="144" t="s">
        <v>154</v>
      </c>
      <c r="B3" t="s">
        <v>8</v>
      </c>
      <c r="C3" t="s">
        <v>138</v>
      </c>
      <c r="D3" t="s">
        <v>8</v>
      </c>
      <c r="E3" t="s">
        <v>8</v>
      </c>
      <c r="F3" t="s">
        <v>139</v>
      </c>
      <c r="G3" s="145">
        <v>39457</v>
      </c>
      <c r="H3" s="145">
        <v>39457</v>
      </c>
      <c r="I3" s="144" t="s">
        <v>8</v>
      </c>
      <c r="J3" s="146">
        <v>443154.08</v>
      </c>
      <c r="K3" t="s">
        <v>138</v>
      </c>
      <c r="L3" t="s">
        <v>8</v>
      </c>
      <c r="M3" t="s">
        <v>8</v>
      </c>
    </row>
    <row r="4" spans="1:13">
      <c r="A4" s="144" t="s">
        <v>8</v>
      </c>
      <c r="B4" t="s">
        <v>8</v>
      </c>
      <c r="C4" t="s">
        <v>140</v>
      </c>
      <c r="D4" t="s">
        <v>8</v>
      </c>
      <c r="E4" t="s">
        <v>8</v>
      </c>
      <c r="F4" t="s">
        <v>139</v>
      </c>
      <c r="G4" s="145">
        <v>39490</v>
      </c>
      <c r="H4" s="145">
        <v>39490</v>
      </c>
      <c r="I4" s="144" t="s">
        <v>8</v>
      </c>
      <c r="J4" s="146">
        <v>346870.99</v>
      </c>
      <c r="K4" t="s">
        <v>140</v>
      </c>
      <c r="L4" t="s">
        <v>8</v>
      </c>
      <c r="M4" t="s">
        <v>8</v>
      </c>
    </row>
    <row r="5" spans="1:13">
      <c r="A5" s="144" t="s">
        <v>8</v>
      </c>
      <c r="B5" t="s">
        <v>8</v>
      </c>
      <c r="C5" t="s">
        <v>141</v>
      </c>
      <c r="D5" t="s">
        <v>8</v>
      </c>
      <c r="E5" t="s">
        <v>8</v>
      </c>
      <c r="F5" t="s">
        <v>139</v>
      </c>
      <c r="G5" s="145">
        <v>39520</v>
      </c>
      <c r="H5" s="145">
        <v>39520</v>
      </c>
      <c r="I5" s="144" t="s">
        <v>8</v>
      </c>
      <c r="J5" s="146">
        <v>355315.32</v>
      </c>
      <c r="K5" t="s">
        <v>141</v>
      </c>
      <c r="L5" t="s">
        <v>8</v>
      </c>
      <c r="M5" t="s">
        <v>8</v>
      </c>
    </row>
    <row r="6" spans="1:13">
      <c r="A6" s="144" t="s">
        <v>8</v>
      </c>
      <c r="B6" t="s">
        <v>8</v>
      </c>
      <c r="C6" t="s">
        <v>142</v>
      </c>
      <c r="D6" t="s">
        <v>8</v>
      </c>
      <c r="E6" t="s">
        <v>8</v>
      </c>
      <c r="F6" t="s">
        <v>139</v>
      </c>
      <c r="G6" s="145">
        <v>39548</v>
      </c>
      <c r="H6" s="145">
        <v>39548</v>
      </c>
      <c r="I6" s="144" t="s">
        <v>8</v>
      </c>
      <c r="J6" s="146">
        <v>382013.68</v>
      </c>
      <c r="K6" t="s">
        <v>142</v>
      </c>
      <c r="L6" t="s">
        <v>8</v>
      </c>
      <c r="M6" t="s">
        <v>8</v>
      </c>
    </row>
    <row r="7" spans="1:13">
      <c r="A7" s="144" t="s">
        <v>8</v>
      </c>
      <c r="B7" t="s">
        <v>8</v>
      </c>
      <c r="C7" t="s">
        <v>143</v>
      </c>
      <c r="D7" t="s">
        <v>8</v>
      </c>
      <c r="E7" t="s">
        <v>8</v>
      </c>
      <c r="F7" t="s">
        <v>139</v>
      </c>
      <c r="G7" s="145">
        <v>39574</v>
      </c>
      <c r="H7" s="145">
        <v>39574</v>
      </c>
      <c r="I7" s="144" t="s">
        <v>8</v>
      </c>
      <c r="J7" s="146">
        <v>426931.19</v>
      </c>
      <c r="K7" t="s">
        <v>143</v>
      </c>
      <c r="L7" t="s">
        <v>8</v>
      </c>
      <c r="M7" t="s">
        <v>8</v>
      </c>
    </row>
    <row r="8" spans="1:13">
      <c r="A8" s="144" t="s">
        <v>8</v>
      </c>
      <c r="B8" t="s">
        <v>8</v>
      </c>
      <c r="C8" t="s">
        <v>144</v>
      </c>
      <c r="D8" t="s">
        <v>8</v>
      </c>
      <c r="E8" t="s">
        <v>8</v>
      </c>
      <c r="F8" t="s">
        <v>139</v>
      </c>
      <c r="G8" s="145">
        <v>39611</v>
      </c>
      <c r="H8" s="145">
        <v>39611</v>
      </c>
      <c r="I8" s="144" t="s">
        <v>8</v>
      </c>
      <c r="J8" s="146">
        <v>456994.71</v>
      </c>
      <c r="K8" t="s">
        <v>144</v>
      </c>
      <c r="L8" t="s">
        <v>8</v>
      </c>
      <c r="M8" t="s">
        <v>8</v>
      </c>
    </row>
    <row r="9" spans="1:13">
      <c r="A9" s="144" t="s">
        <v>8</v>
      </c>
      <c r="B9" t="s">
        <v>8</v>
      </c>
      <c r="C9" t="s">
        <v>145</v>
      </c>
      <c r="D9" t="s">
        <v>8</v>
      </c>
      <c r="E9" t="s">
        <v>8</v>
      </c>
      <c r="F9" t="s">
        <v>139</v>
      </c>
      <c r="G9" s="145">
        <v>39639</v>
      </c>
      <c r="H9" s="145">
        <v>39639</v>
      </c>
      <c r="I9" s="144" t="s">
        <v>8</v>
      </c>
      <c r="J9" s="146">
        <v>451687.56</v>
      </c>
      <c r="K9" t="s">
        <v>145</v>
      </c>
      <c r="L9" t="s">
        <v>8</v>
      </c>
      <c r="M9" t="s">
        <v>8</v>
      </c>
    </row>
    <row r="10" spans="1:13">
      <c r="A10" s="144" t="s">
        <v>8</v>
      </c>
      <c r="B10" t="s">
        <v>8</v>
      </c>
      <c r="C10" t="s">
        <v>146</v>
      </c>
      <c r="D10" t="s">
        <v>8</v>
      </c>
      <c r="E10" t="s">
        <v>8</v>
      </c>
      <c r="F10" t="s">
        <v>139</v>
      </c>
      <c r="G10" s="145">
        <v>39674</v>
      </c>
      <c r="H10" s="145">
        <v>39674</v>
      </c>
      <c r="I10" s="144" t="s">
        <v>8</v>
      </c>
      <c r="J10" s="146">
        <v>420472.77</v>
      </c>
      <c r="K10" t="s">
        <v>146</v>
      </c>
      <c r="L10" t="s">
        <v>8</v>
      </c>
      <c r="M10" t="s">
        <v>8</v>
      </c>
    </row>
    <row r="11" spans="1:13">
      <c r="A11" s="144" t="s">
        <v>8</v>
      </c>
      <c r="B11" t="s">
        <v>8</v>
      </c>
      <c r="C11" t="s">
        <v>147</v>
      </c>
      <c r="D11" t="s">
        <v>8</v>
      </c>
      <c r="E11" t="s">
        <v>8</v>
      </c>
      <c r="F11" t="s">
        <v>139</v>
      </c>
      <c r="G11" s="145">
        <v>39700</v>
      </c>
      <c r="H11" s="145">
        <v>39700</v>
      </c>
      <c r="I11" s="144" t="s">
        <v>8</v>
      </c>
      <c r="J11" s="146">
        <v>430304.07</v>
      </c>
      <c r="K11" t="s">
        <v>147</v>
      </c>
      <c r="L11" t="s">
        <v>8</v>
      </c>
      <c r="M11" t="s">
        <v>8</v>
      </c>
    </row>
    <row r="12" spans="1:13">
      <c r="A12" s="144" t="s">
        <v>8</v>
      </c>
      <c r="B12" t="s">
        <v>8</v>
      </c>
      <c r="C12" t="s">
        <v>148</v>
      </c>
      <c r="D12" t="s">
        <v>8</v>
      </c>
      <c r="E12" t="s">
        <v>8</v>
      </c>
      <c r="F12" t="s">
        <v>139</v>
      </c>
      <c r="G12" s="145">
        <v>39721</v>
      </c>
      <c r="H12" s="145">
        <v>39721</v>
      </c>
      <c r="I12" s="144" t="s">
        <v>8</v>
      </c>
      <c r="J12" s="146">
        <v>448198.64</v>
      </c>
      <c r="K12" t="s">
        <v>148</v>
      </c>
      <c r="L12" t="s">
        <v>8</v>
      </c>
      <c r="M12" t="s">
        <v>8</v>
      </c>
    </row>
    <row r="13" spans="1:13">
      <c r="A13" s="144" t="s">
        <v>8</v>
      </c>
      <c r="B13" t="s">
        <v>8</v>
      </c>
      <c r="C13" t="s">
        <v>149</v>
      </c>
      <c r="D13" t="s">
        <v>8</v>
      </c>
      <c r="E13" t="s">
        <v>8</v>
      </c>
      <c r="F13" t="s">
        <v>139</v>
      </c>
      <c r="G13" s="145">
        <v>39756</v>
      </c>
      <c r="H13" s="145">
        <v>39756</v>
      </c>
      <c r="I13" s="144" t="s">
        <v>8</v>
      </c>
      <c r="J13" s="146">
        <v>452481.53</v>
      </c>
      <c r="K13" t="s">
        <v>149</v>
      </c>
      <c r="L13" t="s">
        <v>8</v>
      </c>
      <c r="M13" t="s">
        <v>8</v>
      </c>
    </row>
    <row r="14" spans="1:13">
      <c r="A14" s="144" t="s">
        <v>8</v>
      </c>
      <c r="B14" t="s">
        <v>8</v>
      </c>
      <c r="C14" t="s">
        <v>150</v>
      </c>
      <c r="D14" t="s">
        <v>8</v>
      </c>
      <c r="E14" t="s">
        <v>8</v>
      </c>
      <c r="F14" t="s">
        <v>139</v>
      </c>
      <c r="G14" s="145">
        <v>39778</v>
      </c>
      <c r="H14" s="145">
        <v>39778</v>
      </c>
      <c r="I14" s="144" t="s">
        <v>8</v>
      </c>
      <c r="J14" s="146">
        <v>423126.52</v>
      </c>
      <c r="K14" t="s">
        <v>150</v>
      </c>
      <c r="L14" t="s">
        <v>8</v>
      </c>
      <c r="M14" t="s">
        <v>8</v>
      </c>
    </row>
    <row r="15" spans="1:13">
      <c r="A15" s="147" t="s">
        <v>8</v>
      </c>
      <c r="B15" s="147" t="s">
        <v>8</v>
      </c>
      <c r="C15" s="147" t="s">
        <v>8</v>
      </c>
      <c r="D15" s="147" t="s">
        <v>8</v>
      </c>
      <c r="E15" s="147" t="s">
        <v>8</v>
      </c>
      <c r="F15" s="147" t="s">
        <v>8</v>
      </c>
      <c r="G15" s="148"/>
      <c r="H15" s="148"/>
      <c r="I15" s="147" t="s">
        <v>8</v>
      </c>
      <c r="J15" s="149">
        <v>5037551.0599999996</v>
      </c>
      <c r="K15" s="147" t="s">
        <v>8</v>
      </c>
      <c r="L15" s="147" t="s">
        <v>8</v>
      </c>
      <c r="M15" s="147" t="s">
        <v>8</v>
      </c>
    </row>
    <row r="17" spans="1:10">
      <c r="J17" s="150"/>
    </row>
    <row r="18" spans="1:10">
      <c r="A18" t="s">
        <v>151</v>
      </c>
      <c r="J18" s="150">
        <v>0.9</v>
      </c>
    </row>
    <row r="20" spans="1:10">
      <c r="A20" t="s">
        <v>6</v>
      </c>
      <c r="J20" s="151">
        <f>J15*J18</f>
        <v>4533795.9539999999</v>
      </c>
    </row>
    <row r="21" spans="1:10">
      <c r="A21" t="s">
        <v>34</v>
      </c>
    </row>
    <row r="22" spans="1:10">
      <c r="A22" t="s">
        <v>35</v>
      </c>
    </row>
    <row r="24" spans="1:10">
      <c r="A24" t="s">
        <v>152</v>
      </c>
    </row>
    <row r="25" spans="1:10">
      <c r="A25" t="s">
        <v>34</v>
      </c>
      <c r="J25" s="150">
        <f>1804062.23/5253994.64</f>
        <v>0.343369636555244</v>
      </c>
    </row>
    <row r="26" spans="1:10">
      <c r="A26" t="s">
        <v>35</v>
      </c>
      <c r="J26" s="150">
        <f>3449932.41/5253994.64</f>
        <v>0.65663036344475612</v>
      </c>
    </row>
    <row r="27" spans="1:10">
      <c r="A27" t="s">
        <v>15</v>
      </c>
      <c r="J27" s="150">
        <f>J25+J26</f>
        <v>1</v>
      </c>
    </row>
    <row r="29" spans="1:10">
      <c r="A29" t="s">
        <v>34</v>
      </c>
      <c r="J29" s="152">
        <f>J20*J25</f>
        <v>1556767.8689406158</v>
      </c>
    </row>
    <row r="30" spans="1:10">
      <c r="A30" t="s">
        <v>35</v>
      </c>
      <c r="J30" s="152">
        <f>J20*J26</f>
        <v>2977028.0850593848</v>
      </c>
    </row>
    <row r="31" spans="1:10">
      <c r="A31" t="s">
        <v>15</v>
      </c>
      <c r="J31" s="153">
        <f>J29+J30</f>
        <v>4533795.9540000008</v>
      </c>
    </row>
  </sheetData>
  <customSheetViews>
    <customSheetView guid="{6DB0C51A-CF2E-4524-B123-6AE855E84E26}" state="hidden">
      <selection activeCell="M21" sqref="M21"/>
      <pageMargins left="0.7" right="0.7" top="0.75" bottom="0.75" header="0.3" footer="0.3"/>
      <pageSetup scale="75" orientation="landscape" r:id="rId1"/>
    </customSheetView>
    <customSheetView guid="{D9FD7722-CADB-4741-856E-53C9C7AFA1D2}" state="hidden">
      <selection activeCell="M21" sqref="M21"/>
      <pageMargins left="0.7" right="0.7" top="0.75" bottom="0.75" header="0.3" footer="0.3"/>
      <pageSetup scale="75" orientation="landscape" r:id="rId2"/>
    </customSheetView>
  </customSheetViews>
  <phoneticPr fontId="25" type="noConversion"/>
  <pageMargins left="0.7" right="0.7" top="0.75" bottom="0.75" header="0.3" footer="0.3"/>
  <pageSetup scale="75"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43"/>
  <sheetViews>
    <sheetView topLeftCell="A47" workbookViewId="0">
      <selection activeCell="O92" sqref="O92"/>
    </sheetView>
  </sheetViews>
  <sheetFormatPr defaultRowHeight="12.75"/>
  <cols>
    <col min="1" max="1" width="5.85546875" customWidth="1"/>
    <col min="2" max="13" width="11.28515625" bestFit="1" customWidth="1"/>
    <col min="14" max="15" width="14" bestFit="1" customWidth="1"/>
    <col min="16" max="16" width="14.28515625" customWidth="1"/>
  </cols>
  <sheetData>
    <row r="1" spans="1:16" ht="18">
      <c r="A1" s="120" t="s">
        <v>95</v>
      </c>
      <c r="B1" s="120"/>
    </row>
    <row r="2" spans="1:16" ht="18">
      <c r="A2" s="120" t="s">
        <v>96</v>
      </c>
      <c r="B2" s="120"/>
    </row>
    <row r="3" spans="1:16" ht="18">
      <c r="A3" s="120" t="s">
        <v>97</v>
      </c>
      <c r="B3" s="120"/>
    </row>
    <row r="4" spans="1:16" ht="18">
      <c r="A4" s="120" t="s">
        <v>98</v>
      </c>
    </row>
    <row r="5" spans="1:16" ht="18">
      <c r="A5" s="120"/>
    </row>
    <row r="6" spans="1:16">
      <c r="A6" s="95" t="s">
        <v>20</v>
      </c>
      <c r="B6" s="119" t="s">
        <v>99</v>
      </c>
      <c r="C6" s="119" t="s">
        <v>100</v>
      </c>
      <c r="D6" s="119" t="s">
        <v>101</v>
      </c>
      <c r="E6" s="119" t="s">
        <v>102</v>
      </c>
      <c r="F6" s="119" t="s">
        <v>103</v>
      </c>
      <c r="G6" s="119" t="s">
        <v>104</v>
      </c>
      <c r="H6" s="119" t="s">
        <v>105</v>
      </c>
      <c r="I6" s="119" t="s">
        <v>106</v>
      </c>
      <c r="J6" s="119" t="s">
        <v>107</v>
      </c>
      <c r="K6" s="119" t="s">
        <v>108</v>
      </c>
      <c r="L6" s="119" t="s">
        <v>109</v>
      </c>
      <c r="M6" s="119" t="s">
        <v>110</v>
      </c>
      <c r="N6" s="121" t="s">
        <v>15</v>
      </c>
      <c r="P6" s="122">
        <v>0.78</v>
      </c>
    </row>
    <row r="7" spans="1:16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P7" s="122"/>
    </row>
    <row r="8" spans="1:16">
      <c r="A8">
        <v>2008</v>
      </c>
      <c r="B8" s="90">
        <f>115671*11/12</f>
        <v>106031.75</v>
      </c>
      <c r="C8" s="90">
        <f t="shared" ref="C8:H8" si="0">115671*11/12</f>
        <v>106031.75</v>
      </c>
      <c r="D8" s="90">
        <f t="shared" si="0"/>
        <v>106031.75</v>
      </c>
      <c r="E8" s="90">
        <f t="shared" si="0"/>
        <v>106031.75</v>
      </c>
      <c r="F8" s="90">
        <f t="shared" si="0"/>
        <v>106031.75</v>
      </c>
      <c r="G8" s="90">
        <f t="shared" si="0"/>
        <v>106031.75</v>
      </c>
      <c r="H8" s="90">
        <f t="shared" si="0"/>
        <v>106031.75</v>
      </c>
      <c r="I8" s="90">
        <f>115671*26/12</f>
        <v>250620.5</v>
      </c>
      <c r="J8" s="90">
        <f>115671*26/12</f>
        <v>250620.5</v>
      </c>
      <c r="K8" s="90">
        <f>115671*26/12</f>
        <v>250620.5</v>
      </c>
      <c r="L8" s="90">
        <f>115671*26/12</f>
        <v>250620.5</v>
      </c>
      <c r="M8" s="90">
        <f>115671*26/12</f>
        <v>250620.5</v>
      </c>
      <c r="N8" s="90">
        <f>SUM(B8:M8)</f>
        <v>1995324.75</v>
      </c>
      <c r="P8" s="123">
        <f>SUM(N8)*$P$6</f>
        <v>1556353.3050000002</v>
      </c>
    </row>
    <row r="9" spans="1:16">
      <c r="A9">
        <v>2009</v>
      </c>
      <c r="B9" s="90">
        <f t="shared" ref="B9:H9" si="1">115671*26/12</f>
        <v>250620.5</v>
      </c>
      <c r="C9" s="90">
        <f t="shared" si="1"/>
        <v>250620.5</v>
      </c>
      <c r="D9" s="90">
        <f t="shared" si="1"/>
        <v>250620.5</v>
      </c>
      <c r="E9" s="90">
        <f t="shared" si="1"/>
        <v>250620.5</v>
      </c>
      <c r="F9" s="90">
        <f t="shared" si="1"/>
        <v>250620.5</v>
      </c>
      <c r="G9" s="90">
        <f t="shared" si="1"/>
        <v>250620.5</v>
      </c>
      <c r="H9" s="90">
        <f t="shared" si="1"/>
        <v>250620.5</v>
      </c>
      <c r="I9" s="90">
        <f>115671*26.65/12</f>
        <v>256886.01249999998</v>
      </c>
      <c r="J9" s="90">
        <f>115671*26.65/12</f>
        <v>256886.01249999998</v>
      </c>
      <c r="K9" s="90">
        <f>115671*26.65/12</f>
        <v>256886.01249999998</v>
      </c>
      <c r="L9" s="90">
        <f>115671*26.65/12</f>
        <v>256886.01249999998</v>
      </c>
      <c r="M9" s="90">
        <f>115671*26.65/12</f>
        <v>256886.01249999998</v>
      </c>
      <c r="N9" s="90">
        <f t="shared" ref="N9:N18" si="2">SUM(B9:M9)</f>
        <v>3038773.5625000005</v>
      </c>
      <c r="P9" s="123">
        <f t="shared" ref="P9:P18" si="3">SUM(N9)*$P$6</f>
        <v>2370243.3787500006</v>
      </c>
    </row>
    <row r="10" spans="1:16">
      <c r="A10">
        <v>2010</v>
      </c>
      <c r="B10" s="90">
        <f t="shared" ref="B10:H10" si="4">115671*26.65/12</f>
        <v>256886.01249999998</v>
      </c>
      <c r="C10" s="90">
        <f t="shared" si="4"/>
        <v>256886.01249999998</v>
      </c>
      <c r="D10" s="90">
        <f t="shared" si="4"/>
        <v>256886.01249999998</v>
      </c>
      <c r="E10" s="90">
        <f t="shared" si="4"/>
        <v>256886.01249999998</v>
      </c>
      <c r="F10" s="90">
        <f t="shared" si="4"/>
        <v>256886.01249999998</v>
      </c>
      <c r="G10" s="90">
        <f t="shared" si="4"/>
        <v>256886.01249999998</v>
      </c>
      <c r="H10" s="90">
        <f t="shared" si="4"/>
        <v>256886.01249999998</v>
      </c>
      <c r="I10" s="90">
        <f>115671*27.32/12</f>
        <v>263344.31</v>
      </c>
      <c r="J10" s="90">
        <f>115671*27.32/12</f>
        <v>263344.31</v>
      </c>
      <c r="K10" s="90">
        <f>115671*27.32/12</f>
        <v>263344.31</v>
      </c>
      <c r="L10" s="90">
        <f>115671*27.32/12</f>
        <v>263344.31</v>
      </c>
      <c r="M10" s="90">
        <f>115671*27.32/12</f>
        <v>263344.31</v>
      </c>
      <c r="N10" s="90">
        <f t="shared" si="2"/>
        <v>3114923.6375000002</v>
      </c>
      <c r="P10" s="123">
        <f t="shared" si="3"/>
        <v>2429640.4372500004</v>
      </c>
    </row>
    <row r="11" spans="1:16">
      <c r="A11">
        <v>2011</v>
      </c>
      <c r="B11" s="90">
        <f t="shared" ref="B11:H11" si="5">115671*27.32/12</f>
        <v>263344.31</v>
      </c>
      <c r="C11" s="90">
        <f t="shared" si="5"/>
        <v>263344.31</v>
      </c>
      <c r="D11" s="90">
        <f t="shared" si="5"/>
        <v>263344.31</v>
      </c>
      <c r="E11" s="90">
        <f t="shared" si="5"/>
        <v>263344.31</v>
      </c>
      <c r="F11" s="90">
        <f t="shared" si="5"/>
        <v>263344.31</v>
      </c>
      <c r="G11" s="90">
        <f t="shared" si="5"/>
        <v>263344.31</v>
      </c>
      <c r="H11" s="90">
        <f t="shared" si="5"/>
        <v>263344.31</v>
      </c>
      <c r="I11" s="90">
        <f>115671*28/12</f>
        <v>269899</v>
      </c>
      <c r="J11" s="90">
        <f>115671*28/12</f>
        <v>269899</v>
      </c>
      <c r="K11" s="90">
        <f>115671*28/12</f>
        <v>269899</v>
      </c>
      <c r="L11" s="90">
        <f>115671*28/12</f>
        <v>269899</v>
      </c>
      <c r="M11" s="90">
        <f>115671*28/12</f>
        <v>269899</v>
      </c>
      <c r="N11" s="90">
        <f t="shared" si="2"/>
        <v>3192905.17</v>
      </c>
      <c r="P11" s="123">
        <f t="shared" si="3"/>
        <v>2490466.0326</v>
      </c>
    </row>
    <row r="12" spans="1:16">
      <c r="A12">
        <v>2012</v>
      </c>
      <c r="B12" s="90">
        <f t="shared" ref="B12:H12" si="6">115671*28/12</f>
        <v>269899</v>
      </c>
      <c r="C12" s="90">
        <f t="shared" si="6"/>
        <v>269899</v>
      </c>
      <c r="D12" s="90">
        <f t="shared" si="6"/>
        <v>269899</v>
      </c>
      <c r="E12" s="90">
        <f t="shared" si="6"/>
        <v>269899</v>
      </c>
      <c r="F12" s="90">
        <f t="shared" si="6"/>
        <v>269899</v>
      </c>
      <c r="G12" s="90">
        <f t="shared" si="6"/>
        <v>269899</v>
      </c>
      <c r="H12" s="90">
        <f t="shared" si="6"/>
        <v>269899</v>
      </c>
      <c r="I12" s="90">
        <f>115671*28.7/12</f>
        <v>276646.47499999998</v>
      </c>
      <c r="J12" s="90">
        <f>115671*28.7/12</f>
        <v>276646.47499999998</v>
      </c>
      <c r="K12" s="90">
        <f>115671*28.7/12</f>
        <v>276646.47499999998</v>
      </c>
      <c r="L12" s="90">
        <f>115671*28.7/12</f>
        <v>276646.47499999998</v>
      </c>
      <c r="M12" s="90">
        <f>115671*28.7/12</f>
        <v>276646.47499999998</v>
      </c>
      <c r="N12" s="90">
        <f t="shared" si="2"/>
        <v>3272525.3750000005</v>
      </c>
      <c r="P12" s="123">
        <f t="shared" si="3"/>
        <v>2552569.7925000004</v>
      </c>
    </row>
    <row r="13" spans="1:16">
      <c r="A13">
        <v>2013</v>
      </c>
      <c r="B13" s="90">
        <f t="shared" ref="B13:H13" si="7">115671*28.7/12</f>
        <v>276646.47499999998</v>
      </c>
      <c r="C13" s="90">
        <f t="shared" si="7"/>
        <v>276646.47499999998</v>
      </c>
      <c r="D13" s="90">
        <f t="shared" si="7"/>
        <v>276646.47499999998</v>
      </c>
      <c r="E13" s="90">
        <f t="shared" si="7"/>
        <v>276646.47499999998</v>
      </c>
      <c r="F13" s="90">
        <f t="shared" si="7"/>
        <v>276646.47499999998</v>
      </c>
      <c r="G13" s="90">
        <f t="shared" si="7"/>
        <v>276646.47499999998</v>
      </c>
      <c r="H13" s="90">
        <f t="shared" si="7"/>
        <v>276646.47499999998</v>
      </c>
      <c r="I13" s="90">
        <f>115671*29.37/12</f>
        <v>283104.77250000002</v>
      </c>
      <c r="J13" s="90">
        <f>115671*29.37/12</f>
        <v>283104.77250000002</v>
      </c>
      <c r="K13" s="90">
        <f>115671*29.37/12</f>
        <v>283104.77250000002</v>
      </c>
      <c r="L13" s="90">
        <f>115671*29.37/12</f>
        <v>283104.77250000002</v>
      </c>
      <c r="M13" s="90">
        <f>115671*29.37/12</f>
        <v>283104.77250000002</v>
      </c>
      <c r="N13" s="90">
        <f t="shared" si="2"/>
        <v>3352049.1875</v>
      </c>
      <c r="P13" s="123">
        <f t="shared" si="3"/>
        <v>2614598.36625</v>
      </c>
    </row>
    <row r="14" spans="1:16">
      <c r="A14">
        <v>2014</v>
      </c>
      <c r="B14" s="90">
        <f t="shared" ref="B14:H14" si="8">115671*29.37/12</f>
        <v>283104.77250000002</v>
      </c>
      <c r="C14" s="90">
        <f t="shared" si="8"/>
        <v>283104.77250000002</v>
      </c>
      <c r="D14" s="90">
        <f t="shared" si="8"/>
        <v>283104.77250000002</v>
      </c>
      <c r="E14" s="90">
        <f t="shared" si="8"/>
        <v>283104.77250000002</v>
      </c>
      <c r="F14" s="90">
        <f t="shared" si="8"/>
        <v>283104.77250000002</v>
      </c>
      <c r="G14" s="90">
        <f t="shared" si="8"/>
        <v>283104.77250000002</v>
      </c>
      <c r="H14" s="90">
        <f t="shared" si="8"/>
        <v>283104.77250000002</v>
      </c>
      <c r="I14" s="90">
        <f>115671*30.05/12</f>
        <v>289659.46250000002</v>
      </c>
      <c r="J14" s="90">
        <f>115671*30.05/12</f>
        <v>289659.46250000002</v>
      </c>
      <c r="K14" s="90">
        <f>115671*30.05/12</f>
        <v>289659.46250000002</v>
      </c>
      <c r="L14" s="90">
        <f>115671*30.05/12</f>
        <v>289659.46250000002</v>
      </c>
      <c r="M14" s="90">
        <f>115671*30.05/12</f>
        <v>289659.46250000002</v>
      </c>
      <c r="N14" s="90">
        <f t="shared" si="2"/>
        <v>3430030.7199999997</v>
      </c>
      <c r="P14" s="123">
        <f t="shared" si="3"/>
        <v>2675423.9616</v>
      </c>
    </row>
    <row r="15" spans="1:16">
      <c r="A15">
        <v>2015</v>
      </c>
      <c r="B15" s="90">
        <f t="shared" ref="B15:H15" si="9">115671*30.05/12</f>
        <v>289659.46250000002</v>
      </c>
      <c r="C15" s="90">
        <f t="shared" si="9"/>
        <v>289659.46250000002</v>
      </c>
      <c r="D15" s="90">
        <f t="shared" si="9"/>
        <v>289659.46250000002</v>
      </c>
      <c r="E15" s="90">
        <f t="shared" si="9"/>
        <v>289659.46250000002</v>
      </c>
      <c r="F15" s="90">
        <f t="shared" si="9"/>
        <v>289659.46250000002</v>
      </c>
      <c r="G15" s="90">
        <f t="shared" si="9"/>
        <v>289659.46250000002</v>
      </c>
      <c r="H15" s="90">
        <f t="shared" si="9"/>
        <v>289659.46250000002</v>
      </c>
      <c r="I15" s="90">
        <f>115671*30.73/12</f>
        <v>296214.15250000003</v>
      </c>
      <c r="J15" s="90">
        <f>115671*30.73/12</f>
        <v>296214.15250000003</v>
      </c>
      <c r="K15" s="90">
        <f>115671*30.73/12</f>
        <v>296214.15250000003</v>
      </c>
      <c r="L15" s="90">
        <f>115671*30.73/12</f>
        <v>296214.15250000003</v>
      </c>
      <c r="M15" s="90">
        <f>115671*30.73/12</f>
        <v>296214.15250000003</v>
      </c>
      <c r="N15" s="90">
        <f t="shared" si="2"/>
        <v>3508686.9999999991</v>
      </c>
      <c r="P15" s="123">
        <f t="shared" si="3"/>
        <v>2736775.8599999994</v>
      </c>
    </row>
    <row r="16" spans="1:16">
      <c r="A16">
        <v>2016</v>
      </c>
      <c r="B16" s="90">
        <f t="shared" ref="B16:H16" si="10">115671*30.73/12</f>
        <v>296214.15250000003</v>
      </c>
      <c r="C16" s="90">
        <f t="shared" si="10"/>
        <v>296214.15250000003</v>
      </c>
      <c r="D16" s="90">
        <f t="shared" si="10"/>
        <v>296214.15250000003</v>
      </c>
      <c r="E16" s="90">
        <f t="shared" si="10"/>
        <v>296214.15250000003</v>
      </c>
      <c r="F16" s="90">
        <f t="shared" si="10"/>
        <v>296214.15250000003</v>
      </c>
      <c r="G16" s="90">
        <f t="shared" si="10"/>
        <v>296214.15250000003</v>
      </c>
      <c r="H16" s="90">
        <f t="shared" si="10"/>
        <v>296214.15250000003</v>
      </c>
      <c r="I16" s="90">
        <f>115671*31.45/12</f>
        <v>303154.41249999998</v>
      </c>
      <c r="J16" s="90">
        <f>115671*31.45/12</f>
        <v>303154.41249999998</v>
      </c>
      <c r="K16" s="90">
        <f>115671*31.45/12</f>
        <v>303154.41249999998</v>
      </c>
      <c r="L16" s="90">
        <f>115671*31.45/12</f>
        <v>303154.41249999998</v>
      </c>
      <c r="M16" s="90">
        <f>115671*31.45/12</f>
        <v>303154.41249999998</v>
      </c>
      <c r="N16" s="90">
        <f t="shared" si="2"/>
        <v>3589271.1300000008</v>
      </c>
      <c r="O16" s="90">
        <f>SUM(N14:N18)</f>
        <v>16370049.0975</v>
      </c>
      <c r="P16" s="123">
        <f t="shared" si="3"/>
        <v>2799631.4814000009</v>
      </c>
    </row>
    <row r="17" spans="1:16">
      <c r="A17">
        <v>2017</v>
      </c>
      <c r="B17" s="90">
        <f t="shared" ref="B17:H17" si="11">115671*31.45/12</f>
        <v>303154.41249999998</v>
      </c>
      <c r="C17" s="90">
        <f t="shared" si="11"/>
        <v>303154.41249999998</v>
      </c>
      <c r="D17" s="90">
        <f t="shared" si="11"/>
        <v>303154.41249999998</v>
      </c>
      <c r="E17" s="90">
        <f t="shared" si="11"/>
        <v>303154.41249999998</v>
      </c>
      <c r="F17" s="90">
        <f t="shared" si="11"/>
        <v>303154.41249999998</v>
      </c>
      <c r="G17" s="90">
        <f t="shared" si="11"/>
        <v>303154.41249999998</v>
      </c>
      <c r="H17" s="90">
        <f t="shared" si="11"/>
        <v>303154.41249999998</v>
      </c>
      <c r="I17" s="90">
        <f>115671*32.16/12</f>
        <v>309998.27999999997</v>
      </c>
      <c r="J17" s="90">
        <f>115671*32.16/12</f>
        <v>309998.27999999997</v>
      </c>
      <c r="K17" s="90">
        <f>115671*32.16/12</f>
        <v>309998.27999999997</v>
      </c>
      <c r="L17" s="90">
        <f>115671*32.16/12</f>
        <v>309998.27999999997</v>
      </c>
      <c r="M17" s="90">
        <f>115671*32.16/12</f>
        <v>309998.27999999997</v>
      </c>
      <c r="N17" s="90">
        <f t="shared" si="2"/>
        <v>3672072.2874999992</v>
      </c>
      <c r="P17" s="123">
        <f t="shared" si="3"/>
        <v>2864216.3842499997</v>
      </c>
    </row>
    <row r="18" spans="1:16">
      <c r="A18">
        <v>2018</v>
      </c>
      <c r="B18" s="90">
        <f t="shared" ref="B18:H18" si="12">115671*32.16/12</f>
        <v>309998.27999999997</v>
      </c>
      <c r="C18" s="90">
        <f t="shared" si="12"/>
        <v>309998.27999999997</v>
      </c>
      <c r="D18" s="90">
        <f t="shared" si="12"/>
        <v>309998.27999999997</v>
      </c>
      <c r="E18" s="90">
        <f t="shared" si="12"/>
        <v>309998.27999999997</v>
      </c>
      <c r="F18" s="90">
        <f t="shared" si="12"/>
        <v>309998.27999999997</v>
      </c>
      <c r="G18" s="90">
        <f t="shared" si="12"/>
        <v>309998.27999999997</v>
      </c>
      <c r="H18" s="90">
        <f t="shared" si="12"/>
        <v>309998.27999999997</v>
      </c>
      <c r="I18" s="90"/>
      <c r="J18" s="90"/>
      <c r="K18" s="90"/>
      <c r="L18" s="90"/>
      <c r="M18" s="90"/>
      <c r="N18" s="115">
        <f t="shared" si="2"/>
        <v>2169987.96</v>
      </c>
      <c r="O18" s="90"/>
      <c r="P18" s="124">
        <f t="shared" si="3"/>
        <v>1692590.6088</v>
      </c>
    </row>
    <row r="19" spans="1:16"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>
        <f>SUM(N8:N18)</f>
        <v>34336550.779999994</v>
      </c>
      <c r="P19" s="125">
        <f>SUM(P8:P18)</f>
        <v>26782509.608400006</v>
      </c>
    </row>
    <row r="20" spans="1:16"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P20" s="125"/>
    </row>
    <row r="21" spans="1:16"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</row>
    <row r="22" spans="1:16">
      <c r="B22" s="119" t="s">
        <v>99</v>
      </c>
      <c r="C22" s="119" t="s">
        <v>100</v>
      </c>
      <c r="D22" s="119" t="s">
        <v>101</v>
      </c>
      <c r="E22" s="119" t="s">
        <v>102</v>
      </c>
      <c r="F22" s="119" t="s">
        <v>103</v>
      </c>
      <c r="G22" s="119" t="s">
        <v>104</v>
      </c>
      <c r="H22" s="119" t="s">
        <v>105</v>
      </c>
      <c r="I22" s="119" t="s">
        <v>106</v>
      </c>
      <c r="J22" s="119" t="s">
        <v>107</v>
      </c>
      <c r="K22" s="119" t="s">
        <v>108</v>
      </c>
      <c r="L22" s="119" t="s">
        <v>109</v>
      </c>
      <c r="M22" s="119" t="s">
        <v>110</v>
      </c>
      <c r="N22" s="121" t="s">
        <v>15</v>
      </c>
      <c r="P22" s="122">
        <v>0.78</v>
      </c>
    </row>
    <row r="24" spans="1:16">
      <c r="A24">
        <f>5.37+5.28</f>
        <v>10.65</v>
      </c>
      <c r="B24" s="125">
        <f>115671*10.65/12</f>
        <v>102658.01250000001</v>
      </c>
      <c r="C24" s="125">
        <f t="shared" ref="C24:M24" si="13">115671*10.65/12</f>
        <v>102658.01250000001</v>
      </c>
      <c r="D24" s="125">
        <f t="shared" si="13"/>
        <v>102658.01250000001</v>
      </c>
      <c r="E24" s="125">
        <f t="shared" si="13"/>
        <v>102658.01250000001</v>
      </c>
      <c r="F24" s="125">
        <f t="shared" si="13"/>
        <v>102658.01250000001</v>
      </c>
      <c r="G24" s="125">
        <f t="shared" si="13"/>
        <v>102658.01250000001</v>
      </c>
      <c r="H24" s="125">
        <f t="shared" si="13"/>
        <v>102658.01250000001</v>
      </c>
      <c r="I24" s="125">
        <f t="shared" si="13"/>
        <v>102658.01250000001</v>
      </c>
      <c r="J24" s="125">
        <f t="shared" si="13"/>
        <v>102658.01250000001</v>
      </c>
      <c r="K24" s="125">
        <f t="shared" si="13"/>
        <v>102658.01250000001</v>
      </c>
      <c r="L24" s="125">
        <f t="shared" si="13"/>
        <v>102658.01250000001</v>
      </c>
      <c r="M24" s="125">
        <f t="shared" si="13"/>
        <v>102658.01250000001</v>
      </c>
      <c r="N24" s="125">
        <f>SUM(B24:M24)</f>
        <v>1231896.1499999999</v>
      </c>
      <c r="P24" s="90">
        <f>SUM(N24)*$P$22</f>
        <v>960878.99699999997</v>
      </c>
    </row>
    <row r="25" spans="1:16">
      <c r="A25">
        <f>SUM(A24)*104%</f>
        <v>11.076000000000001</v>
      </c>
      <c r="B25" s="125">
        <f>115671*10.85/12</f>
        <v>104585.86249999999</v>
      </c>
      <c r="C25" s="125">
        <f t="shared" ref="C25:M25" si="14">115671*10.85/12</f>
        <v>104585.86249999999</v>
      </c>
      <c r="D25" s="125">
        <f t="shared" si="14"/>
        <v>104585.86249999999</v>
      </c>
      <c r="E25" s="125">
        <f t="shared" si="14"/>
        <v>104585.86249999999</v>
      </c>
      <c r="F25" s="125">
        <f t="shared" si="14"/>
        <v>104585.86249999999</v>
      </c>
      <c r="G25" s="125">
        <f t="shared" si="14"/>
        <v>104585.86249999999</v>
      </c>
      <c r="H25" s="125">
        <f t="shared" si="14"/>
        <v>104585.86249999999</v>
      </c>
      <c r="I25" s="125">
        <f t="shared" si="14"/>
        <v>104585.86249999999</v>
      </c>
      <c r="J25" s="125">
        <f t="shared" si="14"/>
        <v>104585.86249999999</v>
      </c>
      <c r="K25" s="125">
        <f t="shared" si="14"/>
        <v>104585.86249999999</v>
      </c>
      <c r="L25" s="125">
        <f t="shared" si="14"/>
        <v>104585.86249999999</v>
      </c>
      <c r="M25" s="125">
        <f t="shared" si="14"/>
        <v>104585.86249999999</v>
      </c>
      <c r="N25" s="125">
        <f t="shared" ref="N25:N34" si="15">SUM(B25:M25)</f>
        <v>1255030.3500000001</v>
      </c>
      <c r="P25" s="90">
        <f t="shared" ref="P25:P34" si="16">SUM(N25)*$P$22</f>
        <v>978923.67300000007</v>
      </c>
    </row>
    <row r="26" spans="1:16">
      <c r="A26">
        <f t="shared" ref="A26:A34" si="17">SUM(A25)*104%</f>
        <v>11.51904</v>
      </c>
      <c r="B26" s="125">
        <f>115671*11.52/12</f>
        <v>111044.15999999999</v>
      </c>
      <c r="C26" s="125">
        <f t="shared" ref="C26:M26" si="18">115671*11.52/12</f>
        <v>111044.15999999999</v>
      </c>
      <c r="D26" s="125">
        <f t="shared" si="18"/>
        <v>111044.15999999999</v>
      </c>
      <c r="E26" s="125">
        <f t="shared" si="18"/>
        <v>111044.15999999999</v>
      </c>
      <c r="F26" s="125">
        <f t="shared" si="18"/>
        <v>111044.15999999999</v>
      </c>
      <c r="G26" s="125">
        <f t="shared" si="18"/>
        <v>111044.15999999999</v>
      </c>
      <c r="H26" s="125">
        <f t="shared" si="18"/>
        <v>111044.15999999999</v>
      </c>
      <c r="I26" s="125">
        <f t="shared" si="18"/>
        <v>111044.15999999999</v>
      </c>
      <c r="J26" s="125">
        <f t="shared" si="18"/>
        <v>111044.15999999999</v>
      </c>
      <c r="K26" s="125">
        <f t="shared" si="18"/>
        <v>111044.15999999999</v>
      </c>
      <c r="L26" s="125">
        <f t="shared" si="18"/>
        <v>111044.15999999999</v>
      </c>
      <c r="M26" s="125">
        <f t="shared" si="18"/>
        <v>111044.15999999999</v>
      </c>
      <c r="N26" s="125">
        <f t="shared" si="15"/>
        <v>1332529.92</v>
      </c>
      <c r="P26" s="90">
        <f t="shared" si="16"/>
        <v>1039373.3376</v>
      </c>
    </row>
    <row r="27" spans="1:16">
      <c r="A27">
        <f t="shared" si="17"/>
        <v>11.9798016</v>
      </c>
      <c r="B27" s="125">
        <f>115671*11.98/12</f>
        <v>115478.21500000001</v>
      </c>
      <c r="C27" s="125">
        <f t="shared" ref="C27:M27" si="19">115671*11.98/12</f>
        <v>115478.21500000001</v>
      </c>
      <c r="D27" s="125">
        <f t="shared" si="19"/>
        <v>115478.21500000001</v>
      </c>
      <c r="E27" s="125">
        <f t="shared" si="19"/>
        <v>115478.21500000001</v>
      </c>
      <c r="F27" s="125">
        <f t="shared" si="19"/>
        <v>115478.21500000001</v>
      </c>
      <c r="G27" s="125">
        <f t="shared" si="19"/>
        <v>115478.21500000001</v>
      </c>
      <c r="H27" s="125">
        <f t="shared" si="19"/>
        <v>115478.21500000001</v>
      </c>
      <c r="I27" s="125">
        <f t="shared" si="19"/>
        <v>115478.21500000001</v>
      </c>
      <c r="J27" s="125">
        <f t="shared" si="19"/>
        <v>115478.21500000001</v>
      </c>
      <c r="K27" s="125">
        <f t="shared" si="19"/>
        <v>115478.21500000001</v>
      </c>
      <c r="L27" s="125">
        <f t="shared" si="19"/>
        <v>115478.21500000001</v>
      </c>
      <c r="M27" s="125">
        <f t="shared" si="19"/>
        <v>115478.21500000001</v>
      </c>
      <c r="N27" s="125">
        <f t="shared" si="15"/>
        <v>1385738.58</v>
      </c>
      <c r="P27" s="90">
        <f t="shared" si="16"/>
        <v>1080876.0924000002</v>
      </c>
    </row>
    <row r="28" spans="1:16">
      <c r="A28">
        <f t="shared" si="17"/>
        <v>12.458993664000001</v>
      </c>
      <c r="B28" s="125">
        <f>115671*12.46/12</f>
        <v>120105.05500000001</v>
      </c>
      <c r="C28" s="125">
        <f t="shared" ref="C28:M28" si="20">115671*12.46/12</f>
        <v>120105.05500000001</v>
      </c>
      <c r="D28" s="125">
        <f t="shared" si="20"/>
        <v>120105.05500000001</v>
      </c>
      <c r="E28" s="125">
        <f t="shared" si="20"/>
        <v>120105.05500000001</v>
      </c>
      <c r="F28" s="125">
        <f t="shared" si="20"/>
        <v>120105.05500000001</v>
      </c>
      <c r="G28" s="125">
        <f t="shared" si="20"/>
        <v>120105.05500000001</v>
      </c>
      <c r="H28" s="125">
        <f t="shared" si="20"/>
        <v>120105.05500000001</v>
      </c>
      <c r="I28" s="125">
        <f t="shared" si="20"/>
        <v>120105.05500000001</v>
      </c>
      <c r="J28" s="125">
        <f t="shared" si="20"/>
        <v>120105.05500000001</v>
      </c>
      <c r="K28" s="125">
        <f t="shared" si="20"/>
        <v>120105.05500000001</v>
      </c>
      <c r="L28" s="125">
        <f t="shared" si="20"/>
        <v>120105.05500000001</v>
      </c>
      <c r="M28" s="125">
        <f t="shared" si="20"/>
        <v>120105.05500000001</v>
      </c>
      <c r="N28" s="125">
        <f t="shared" si="15"/>
        <v>1441260.66</v>
      </c>
      <c r="P28" s="90">
        <f t="shared" si="16"/>
        <v>1124183.3148000001</v>
      </c>
    </row>
    <row r="29" spans="1:16">
      <c r="A29">
        <f t="shared" si="17"/>
        <v>12.957353410560001</v>
      </c>
      <c r="B29" s="125">
        <f>115671*12.96/12</f>
        <v>124924.68000000001</v>
      </c>
      <c r="C29" s="125">
        <f t="shared" ref="C29:M29" si="21">115671*12.96/12</f>
        <v>124924.68000000001</v>
      </c>
      <c r="D29" s="125">
        <f t="shared" si="21"/>
        <v>124924.68000000001</v>
      </c>
      <c r="E29" s="125">
        <f t="shared" si="21"/>
        <v>124924.68000000001</v>
      </c>
      <c r="F29" s="125">
        <f t="shared" si="21"/>
        <v>124924.68000000001</v>
      </c>
      <c r="G29" s="125">
        <f t="shared" si="21"/>
        <v>124924.68000000001</v>
      </c>
      <c r="H29" s="125">
        <f t="shared" si="21"/>
        <v>124924.68000000001</v>
      </c>
      <c r="I29" s="125">
        <f t="shared" si="21"/>
        <v>124924.68000000001</v>
      </c>
      <c r="J29" s="125">
        <f t="shared" si="21"/>
        <v>124924.68000000001</v>
      </c>
      <c r="K29" s="125">
        <f t="shared" si="21"/>
        <v>124924.68000000001</v>
      </c>
      <c r="L29" s="125">
        <f t="shared" si="21"/>
        <v>124924.68000000001</v>
      </c>
      <c r="M29" s="125">
        <f t="shared" si="21"/>
        <v>124924.68000000001</v>
      </c>
      <c r="N29" s="125">
        <f t="shared" si="15"/>
        <v>1499096.16</v>
      </c>
      <c r="P29" s="90">
        <f t="shared" si="16"/>
        <v>1169295.0048</v>
      </c>
    </row>
    <row r="30" spans="1:16">
      <c r="A30">
        <f t="shared" si="17"/>
        <v>13.475647546982401</v>
      </c>
      <c r="B30" s="125">
        <f>115671*13.48/12</f>
        <v>129937.09000000001</v>
      </c>
      <c r="C30" s="125">
        <f t="shared" ref="C30:M30" si="22">115671*13.48/12</f>
        <v>129937.09000000001</v>
      </c>
      <c r="D30" s="125">
        <f t="shared" si="22"/>
        <v>129937.09000000001</v>
      </c>
      <c r="E30" s="125">
        <f t="shared" si="22"/>
        <v>129937.09000000001</v>
      </c>
      <c r="F30" s="125">
        <f t="shared" si="22"/>
        <v>129937.09000000001</v>
      </c>
      <c r="G30" s="125">
        <f t="shared" si="22"/>
        <v>129937.09000000001</v>
      </c>
      <c r="H30" s="125">
        <f t="shared" si="22"/>
        <v>129937.09000000001</v>
      </c>
      <c r="I30" s="125">
        <f t="shared" si="22"/>
        <v>129937.09000000001</v>
      </c>
      <c r="J30" s="125">
        <f t="shared" si="22"/>
        <v>129937.09000000001</v>
      </c>
      <c r="K30" s="125">
        <f t="shared" si="22"/>
        <v>129937.09000000001</v>
      </c>
      <c r="L30" s="125">
        <f t="shared" si="22"/>
        <v>129937.09000000001</v>
      </c>
      <c r="M30" s="125">
        <f t="shared" si="22"/>
        <v>129937.09000000001</v>
      </c>
      <c r="N30" s="125">
        <f t="shared" si="15"/>
        <v>1559245.0800000003</v>
      </c>
      <c r="P30" s="90">
        <f t="shared" si="16"/>
        <v>1216211.1624000003</v>
      </c>
    </row>
    <row r="31" spans="1:16">
      <c r="A31">
        <f t="shared" si="17"/>
        <v>14.014673448861698</v>
      </c>
      <c r="B31" s="125">
        <f>115671*14.01/12</f>
        <v>135045.89249999999</v>
      </c>
      <c r="C31" s="125">
        <f t="shared" ref="C31:M31" si="23">115671*14.01/12</f>
        <v>135045.89249999999</v>
      </c>
      <c r="D31" s="125">
        <f t="shared" si="23"/>
        <v>135045.89249999999</v>
      </c>
      <c r="E31" s="125">
        <f t="shared" si="23"/>
        <v>135045.89249999999</v>
      </c>
      <c r="F31" s="125">
        <f t="shared" si="23"/>
        <v>135045.89249999999</v>
      </c>
      <c r="G31" s="125">
        <f t="shared" si="23"/>
        <v>135045.89249999999</v>
      </c>
      <c r="H31" s="125">
        <f t="shared" si="23"/>
        <v>135045.89249999999</v>
      </c>
      <c r="I31" s="125">
        <f t="shared" si="23"/>
        <v>135045.89249999999</v>
      </c>
      <c r="J31" s="125">
        <f t="shared" si="23"/>
        <v>135045.89249999999</v>
      </c>
      <c r="K31" s="125">
        <f t="shared" si="23"/>
        <v>135045.89249999999</v>
      </c>
      <c r="L31" s="125">
        <f t="shared" si="23"/>
        <v>135045.89249999999</v>
      </c>
      <c r="M31" s="125">
        <f t="shared" si="23"/>
        <v>135045.89249999999</v>
      </c>
      <c r="N31" s="125">
        <f t="shared" si="15"/>
        <v>1620550.7100000002</v>
      </c>
      <c r="P31" s="90">
        <f t="shared" si="16"/>
        <v>1264029.5538000001</v>
      </c>
    </row>
    <row r="32" spans="1:16">
      <c r="A32">
        <f t="shared" si="17"/>
        <v>14.575260386816167</v>
      </c>
      <c r="B32" s="125">
        <f>115671*14.58/12</f>
        <v>140540.26499999998</v>
      </c>
      <c r="C32" s="125">
        <f t="shared" ref="C32:M32" si="24">115671*14.58/12</f>
        <v>140540.26499999998</v>
      </c>
      <c r="D32" s="125">
        <f t="shared" si="24"/>
        <v>140540.26499999998</v>
      </c>
      <c r="E32" s="125">
        <f t="shared" si="24"/>
        <v>140540.26499999998</v>
      </c>
      <c r="F32" s="125">
        <f t="shared" si="24"/>
        <v>140540.26499999998</v>
      </c>
      <c r="G32" s="125">
        <f t="shared" si="24"/>
        <v>140540.26499999998</v>
      </c>
      <c r="H32" s="125">
        <f t="shared" si="24"/>
        <v>140540.26499999998</v>
      </c>
      <c r="I32" s="125">
        <f t="shared" si="24"/>
        <v>140540.26499999998</v>
      </c>
      <c r="J32" s="125">
        <f t="shared" si="24"/>
        <v>140540.26499999998</v>
      </c>
      <c r="K32" s="125">
        <f t="shared" si="24"/>
        <v>140540.26499999998</v>
      </c>
      <c r="L32" s="125">
        <f t="shared" si="24"/>
        <v>140540.26499999998</v>
      </c>
      <c r="M32" s="125">
        <f t="shared" si="24"/>
        <v>140540.26499999998</v>
      </c>
      <c r="N32" s="125">
        <f t="shared" si="15"/>
        <v>1686483.1799999995</v>
      </c>
      <c r="P32" s="90">
        <f t="shared" si="16"/>
        <v>1315456.8803999997</v>
      </c>
    </row>
    <row r="33" spans="1:16">
      <c r="A33">
        <f t="shared" si="17"/>
        <v>15.158270802288813</v>
      </c>
      <c r="B33" s="125">
        <f>115671*15.16/12</f>
        <v>146131.03</v>
      </c>
      <c r="C33" s="125">
        <f t="shared" ref="C33:M33" si="25">115671*15.16/12</f>
        <v>146131.03</v>
      </c>
      <c r="D33" s="125">
        <f t="shared" si="25"/>
        <v>146131.03</v>
      </c>
      <c r="E33" s="125">
        <f t="shared" si="25"/>
        <v>146131.03</v>
      </c>
      <c r="F33" s="125">
        <f t="shared" si="25"/>
        <v>146131.03</v>
      </c>
      <c r="G33" s="125">
        <f t="shared" si="25"/>
        <v>146131.03</v>
      </c>
      <c r="H33" s="125">
        <f t="shared" si="25"/>
        <v>146131.03</v>
      </c>
      <c r="I33" s="125">
        <f t="shared" si="25"/>
        <v>146131.03</v>
      </c>
      <c r="J33" s="125">
        <f t="shared" si="25"/>
        <v>146131.03</v>
      </c>
      <c r="K33" s="125">
        <f t="shared" si="25"/>
        <v>146131.03</v>
      </c>
      <c r="L33" s="125">
        <f t="shared" si="25"/>
        <v>146131.03</v>
      </c>
      <c r="M33" s="125">
        <f t="shared" si="25"/>
        <v>146131.03</v>
      </c>
      <c r="N33" s="125">
        <f t="shared" si="15"/>
        <v>1753572.36</v>
      </c>
      <c r="P33" s="90">
        <f t="shared" si="16"/>
        <v>1367786.4408000002</v>
      </c>
    </row>
    <row r="34" spans="1:16">
      <c r="A34">
        <f t="shared" si="17"/>
        <v>15.764601634380366</v>
      </c>
      <c r="B34" s="126">
        <f>115671*15.76/12</f>
        <v>151914.57999999999</v>
      </c>
      <c r="C34" s="126">
        <f t="shared" ref="C34:H34" si="26">115671*15.76/12</f>
        <v>151914.57999999999</v>
      </c>
      <c r="D34" s="126">
        <f t="shared" si="26"/>
        <v>151914.57999999999</v>
      </c>
      <c r="E34" s="126">
        <f t="shared" si="26"/>
        <v>151914.57999999999</v>
      </c>
      <c r="F34" s="126">
        <f t="shared" si="26"/>
        <v>151914.57999999999</v>
      </c>
      <c r="G34" s="126">
        <f t="shared" si="26"/>
        <v>151914.57999999999</v>
      </c>
      <c r="H34" s="126">
        <f t="shared" si="26"/>
        <v>151914.57999999999</v>
      </c>
      <c r="I34" s="126"/>
      <c r="J34" s="126"/>
      <c r="K34" s="126"/>
      <c r="L34" s="126"/>
      <c r="M34" s="126"/>
      <c r="N34" s="126">
        <f t="shared" si="15"/>
        <v>1063402.0599999998</v>
      </c>
      <c r="P34" s="115">
        <f t="shared" si="16"/>
        <v>829453.60679999983</v>
      </c>
    </row>
    <row r="35" spans="1:16">
      <c r="B35" s="125">
        <f>SUM(B24:B34)</f>
        <v>1382364.8425</v>
      </c>
      <c r="C35" s="125">
        <f t="shared" ref="C35:N35" si="27">SUM(C24:C34)</f>
        <v>1382364.8425</v>
      </c>
      <c r="D35" s="125">
        <f t="shared" si="27"/>
        <v>1382364.8425</v>
      </c>
      <c r="E35" s="125">
        <f t="shared" si="27"/>
        <v>1382364.8425</v>
      </c>
      <c r="F35" s="125">
        <f t="shared" si="27"/>
        <v>1382364.8425</v>
      </c>
      <c r="G35" s="125">
        <f t="shared" si="27"/>
        <v>1382364.8425</v>
      </c>
      <c r="H35" s="125">
        <f t="shared" si="27"/>
        <v>1382364.8425</v>
      </c>
      <c r="I35" s="125">
        <f t="shared" si="27"/>
        <v>1230450.2625</v>
      </c>
      <c r="J35" s="125">
        <f t="shared" si="27"/>
        <v>1230450.2625</v>
      </c>
      <c r="K35" s="125">
        <f t="shared" si="27"/>
        <v>1230450.2625</v>
      </c>
      <c r="L35" s="125">
        <f t="shared" si="27"/>
        <v>1230450.2625</v>
      </c>
      <c r="M35" s="125">
        <f t="shared" si="27"/>
        <v>1230450.2625</v>
      </c>
      <c r="N35" s="125">
        <f t="shared" si="27"/>
        <v>15828805.210000001</v>
      </c>
      <c r="P35" s="90">
        <f>SUM(P24:P34)</f>
        <v>12346468.0638</v>
      </c>
    </row>
    <row r="38" spans="1:16"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</row>
    <row r="39" spans="1:16">
      <c r="A39" s="127" t="s">
        <v>111</v>
      </c>
      <c r="B39" s="128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92"/>
    </row>
    <row r="40" spans="1:16">
      <c r="A40" s="92" t="s">
        <v>20</v>
      </c>
      <c r="B40" s="130" t="s">
        <v>99</v>
      </c>
      <c r="C40" s="130" t="s">
        <v>100</v>
      </c>
      <c r="D40" s="130" t="s">
        <v>101</v>
      </c>
      <c r="E40" s="130" t="s">
        <v>102</v>
      </c>
      <c r="F40" s="130" t="s">
        <v>103</v>
      </c>
      <c r="G40" s="130" t="s">
        <v>104</v>
      </c>
      <c r="H40" s="130" t="s">
        <v>105</v>
      </c>
      <c r="I40" s="130" t="s">
        <v>106</v>
      </c>
      <c r="J40" s="130" t="s">
        <v>107</v>
      </c>
      <c r="K40" s="130" t="s">
        <v>108</v>
      </c>
      <c r="L40" s="130" t="s">
        <v>109</v>
      </c>
      <c r="M40" s="130" t="s">
        <v>110</v>
      </c>
      <c r="N40" s="130" t="s">
        <v>15</v>
      </c>
      <c r="O40" s="92"/>
      <c r="P40" s="122">
        <v>0.78</v>
      </c>
    </row>
    <row r="41" spans="1:16">
      <c r="A41" s="92">
        <v>2008</v>
      </c>
      <c r="B41" s="129"/>
      <c r="C41" s="129"/>
      <c r="D41" s="129"/>
      <c r="E41" s="129"/>
      <c r="F41" s="129"/>
      <c r="G41" s="129"/>
      <c r="H41" s="129"/>
      <c r="I41" s="129">
        <f>23293*28/12</f>
        <v>54350.333333333336</v>
      </c>
      <c r="J41" s="129">
        <f>23293*28/12</f>
        <v>54350.333333333336</v>
      </c>
      <c r="K41" s="129">
        <f>23293*28/12</f>
        <v>54350.333333333336</v>
      </c>
      <c r="L41" s="129">
        <f>23293*28/12</f>
        <v>54350.333333333336</v>
      </c>
      <c r="M41" s="129">
        <f>23293*28/12</f>
        <v>54350.333333333336</v>
      </c>
      <c r="N41" s="129">
        <f>SUM(B41:M41)</f>
        <v>271751.66666666669</v>
      </c>
      <c r="O41" s="92"/>
      <c r="P41" s="90">
        <f>SUM(N41)*$P$40</f>
        <v>211966.30000000002</v>
      </c>
    </row>
    <row r="42" spans="1:16">
      <c r="A42" s="92">
        <v>2009</v>
      </c>
      <c r="B42" s="129">
        <f>23293*28/12</f>
        <v>54350.333333333336</v>
      </c>
      <c r="C42" s="129">
        <f t="shared" ref="C42:H42" si="28">23293*28/12</f>
        <v>54350.333333333336</v>
      </c>
      <c r="D42" s="129">
        <f t="shared" si="28"/>
        <v>54350.333333333336</v>
      </c>
      <c r="E42" s="129">
        <f t="shared" si="28"/>
        <v>54350.333333333336</v>
      </c>
      <c r="F42" s="129">
        <f t="shared" si="28"/>
        <v>54350.333333333336</v>
      </c>
      <c r="G42" s="129">
        <f t="shared" si="28"/>
        <v>54350.333333333336</v>
      </c>
      <c r="H42" s="129">
        <f t="shared" si="28"/>
        <v>54350.333333333336</v>
      </c>
      <c r="I42" s="129">
        <f>23293*29/12</f>
        <v>56291.416666666664</v>
      </c>
      <c r="J42" s="129">
        <f>23293*29/12</f>
        <v>56291.416666666664</v>
      </c>
      <c r="K42" s="129">
        <f>23293*29/12</f>
        <v>56291.416666666664</v>
      </c>
      <c r="L42" s="129">
        <f>23293*29/12</f>
        <v>56291.416666666664</v>
      </c>
      <c r="M42" s="129">
        <f>23293*29/12</f>
        <v>56291.416666666664</v>
      </c>
      <c r="N42" s="129">
        <f t="shared" ref="N42:N51" si="29">SUM(B42:M42)</f>
        <v>661909.41666666663</v>
      </c>
      <c r="O42" s="92"/>
      <c r="P42" s="90">
        <f t="shared" ref="P42:P51" si="30">SUM(N42)*$P$40</f>
        <v>516289.34499999997</v>
      </c>
    </row>
    <row r="43" spans="1:16">
      <c r="A43" s="92">
        <v>2010</v>
      </c>
      <c r="B43" s="129">
        <f t="shared" ref="B43:H43" si="31">23293*29/12</f>
        <v>56291.416666666664</v>
      </c>
      <c r="C43" s="129">
        <f t="shared" si="31"/>
        <v>56291.416666666664</v>
      </c>
      <c r="D43" s="129">
        <f t="shared" si="31"/>
        <v>56291.416666666664</v>
      </c>
      <c r="E43" s="129">
        <f t="shared" si="31"/>
        <v>56291.416666666664</v>
      </c>
      <c r="F43" s="129">
        <f t="shared" si="31"/>
        <v>56291.416666666664</v>
      </c>
      <c r="G43" s="129">
        <f t="shared" si="31"/>
        <v>56291.416666666664</v>
      </c>
      <c r="H43" s="129">
        <f t="shared" si="31"/>
        <v>56291.416666666664</v>
      </c>
      <c r="I43" s="129">
        <f>23293*30/12</f>
        <v>58232.5</v>
      </c>
      <c r="J43" s="129">
        <f>23293*30/12</f>
        <v>58232.5</v>
      </c>
      <c r="K43" s="129">
        <f>23293*30/12</f>
        <v>58232.5</v>
      </c>
      <c r="L43" s="129">
        <f>23293*30/12</f>
        <v>58232.5</v>
      </c>
      <c r="M43" s="129">
        <f>23293*30/12</f>
        <v>58232.5</v>
      </c>
      <c r="N43" s="129">
        <f t="shared" si="29"/>
        <v>685202.41666666674</v>
      </c>
      <c r="O43" s="92"/>
      <c r="P43" s="90">
        <f t="shared" si="30"/>
        <v>534457.88500000013</v>
      </c>
    </row>
    <row r="44" spans="1:16">
      <c r="A44" s="92">
        <v>2011</v>
      </c>
      <c r="B44" s="129">
        <f t="shared" ref="B44:H44" si="32">23293*30/12</f>
        <v>58232.5</v>
      </c>
      <c r="C44" s="129">
        <f t="shared" si="32"/>
        <v>58232.5</v>
      </c>
      <c r="D44" s="129">
        <f t="shared" si="32"/>
        <v>58232.5</v>
      </c>
      <c r="E44" s="129">
        <f t="shared" si="32"/>
        <v>58232.5</v>
      </c>
      <c r="F44" s="129">
        <f t="shared" si="32"/>
        <v>58232.5</v>
      </c>
      <c r="G44" s="129">
        <f t="shared" si="32"/>
        <v>58232.5</v>
      </c>
      <c r="H44" s="129">
        <f t="shared" si="32"/>
        <v>58232.5</v>
      </c>
      <c r="I44" s="129">
        <f>23293*31/12</f>
        <v>60173.583333333336</v>
      </c>
      <c r="J44" s="129">
        <f>23293*31/12</f>
        <v>60173.583333333336</v>
      </c>
      <c r="K44" s="129">
        <f>23293*31/12</f>
        <v>60173.583333333336</v>
      </c>
      <c r="L44" s="129">
        <f>23293*31/12</f>
        <v>60173.583333333336</v>
      </c>
      <c r="M44" s="129">
        <f>23293*31/12</f>
        <v>60173.583333333336</v>
      </c>
      <c r="N44" s="129">
        <f t="shared" si="29"/>
        <v>708495.41666666674</v>
      </c>
      <c r="O44" s="92"/>
      <c r="P44" s="90">
        <f t="shared" si="30"/>
        <v>552626.42500000005</v>
      </c>
    </row>
    <row r="45" spans="1:16">
      <c r="A45" s="92">
        <v>2012</v>
      </c>
      <c r="B45" s="129">
        <f t="shared" ref="B45:H45" si="33">23293*31/12</f>
        <v>60173.583333333336</v>
      </c>
      <c r="C45" s="129">
        <f t="shared" si="33"/>
        <v>60173.583333333336</v>
      </c>
      <c r="D45" s="129">
        <f t="shared" si="33"/>
        <v>60173.583333333336</v>
      </c>
      <c r="E45" s="129">
        <f t="shared" si="33"/>
        <v>60173.583333333336</v>
      </c>
      <c r="F45" s="129">
        <f t="shared" si="33"/>
        <v>60173.583333333336</v>
      </c>
      <c r="G45" s="129">
        <f t="shared" si="33"/>
        <v>60173.583333333336</v>
      </c>
      <c r="H45" s="129">
        <f t="shared" si="33"/>
        <v>60173.583333333336</v>
      </c>
      <c r="I45" s="129">
        <f>23293*32/12</f>
        <v>62114.666666666664</v>
      </c>
      <c r="J45" s="129">
        <f>23293*32/12</f>
        <v>62114.666666666664</v>
      </c>
      <c r="K45" s="129">
        <f>23293*32/12</f>
        <v>62114.666666666664</v>
      </c>
      <c r="L45" s="129">
        <f>23293*32/12</f>
        <v>62114.666666666664</v>
      </c>
      <c r="M45" s="129">
        <f>23293*32/12</f>
        <v>62114.666666666664</v>
      </c>
      <c r="N45" s="129">
        <f t="shared" si="29"/>
        <v>731788.41666666651</v>
      </c>
      <c r="O45" s="92"/>
      <c r="P45" s="90">
        <f t="shared" si="30"/>
        <v>570794.96499999985</v>
      </c>
    </row>
    <row r="46" spans="1:16">
      <c r="A46" s="92">
        <v>2013</v>
      </c>
      <c r="B46" s="129">
        <f t="shared" ref="B46:H46" si="34">23293*32/12</f>
        <v>62114.666666666664</v>
      </c>
      <c r="C46" s="129">
        <f t="shared" si="34"/>
        <v>62114.666666666664</v>
      </c>
      <c r="D46" s="129">
        <f t="shared" si="34"/>
        <v>62114.666666666664</v>
      </c>
      <c r="E46" s="129">
        <f t="shared" si="34"/>
        <v>62114.666666666664</v>
      </c>
      <c r="F46" s="129">
        <f t="shared" si="34"/>
        <v>62114.666666666664</v>
      </c>
      <c r="G46" s="129">
        <f t="shared" si="34"/>
        <v>62114.666666666664</v>
      </c>
      <c r="H46" s="129">
        <f t="shared" si="34"/>
        <v>62114.666666666664</v>
      </c>
      <c r="I46" s="129">
        <f>23293*33/12</f>
        <v>64055.75</v>
      </c>
      <c r="J46" s="129">
        <f>23293*33/12</f>
        <v>64055.75</v>
      </c>
      <c r="K46" s="129">
        <f>23293*33/12</f>
        <v>64055.75</v>
      </c>
      <c r="L46" s="129">
        <f>23293*33/12</f>
        <v>64055.75</v>
      </c>
      <c r="M46" s="129">
        <f>23293*33/12</f>
        <v>64055.75</v>
      </c>
      <c r="N46" s="129">
        <f t="shared" si="29"/>
        <v>755081.41666666674</v>
      </c>
      <c r="O46" s="92"/>
      <c r="P46" s="90">
        <f t="shared" si="30"/>
        <v>588963.50500000012</v>
      </c>
    </row>
    <row r="47" spans="1:16">
      <c r="A47" s="92">
        <v>2014</v>
      </c>
      <c r="B47" s="129">
        <f t="shared" ref="B47:H47" si="35">23293*33/12</f>
        <v>64055.75</v>
      </c>
      <c r="C47" s="129">
        <f t="shared" si="35"/>
        <v>64055.75</v>
      </c>
      <c r="D47" s="129">
        <f t="shared" si="35"/>
        <v>64055.75</v>
      </c>
      <c r="E47" s="129">
        <f t="shared" si="35"/>
        <v>64055.75</v>
      </c>
      <c r="F47" s="129">
        <f t="shared" si="35"/>
        <v>64055.75</v>
      </c>
      <c r="G47" s="129">
        <f t="shared" si="35"/>
        <v>64055.75</v>
      </c>
      <c r="H47" s="129">
        <f t="shared" si="35"/>
        <v>64055.75</v>
      </c>
      <c r="I47" s="129">
        <f>23293*34/12</f>
        <v>65996.833333333328</v>
      </c>
      <c r="J47" s="129">
        <f>23293*34/12</f>
        <v>65996.833333333328</v>
      </c>
      <c r="K47" s="129">
        <f>23293*34/12</f>
        <v>65996.833333333328</v>
      </c>
      <c r="L47" s="129">
        <f>23293*34/12</f>
        <v>65996.833333333328</v>
      </c>
      <c r="M47" s="129">
        <f>23293*34/12</f>
        <v>65996.833333333328</v>
      </c>
      <c r="N47" s="129">
        <f t="shared" si="29"/>
        <v>778374.41666666674</v>
      </c>
      <c r="O47" s="92"/>
      <c r="P47" s="90">
        <f t="shared" si="30"/>
        <v>607132.04500000004</v>
      </c>
    </row>
    <row r="48" spans="1:16">
      <c r="A48" s="92">
        <v>2015</v>
      </c>
      <c r="B48" s="129">
        <f t="shared" ref="B48:H48" si="36">23293*34/12</f>
        <v>65996.833333333328</v>
      </c>
      <c r="C48" s="129">
        <f t="shared" si="36"/>
        <v>65996.833333333328</v>
      </c>
      <c r="D48" s="129">
        <f t="shared" si="36"/>
        <v>65996.833333333328</v>
      </c>
      <c r="E48" s="129">
        <f t="shared" si="36"/>
        <v>65996.833333333328</v>
      </c>
      <c r="F48" s="129">
        <f t="shared" si="36"/>
        <v>65996.833333333328</v>
      </c>
      <c r="G48" s="129">
        <f t="shared" si="36"/>
        <v>65996.833333333328</v>
      </c>
      <c r="H48" s="129">
        <f t="shared" si="36"/>
        <v>65996.833333333328</v>
      </c>
      <c r="I48" s="129">
        <f>23293*35/12</f>
        <v>67937.916666666672</v>
      </c>
      <c r="J48" s="129">
        <f>23293*35/12</f>
        <v>67937.916666666672</v>
      </c>
      <c r="K48" s="129">
        <f>23293*35/12</f>
        <v>67937.916666666672</v>
      </c>
      <c r="L48" s="129">
        <f>23293*35/12</f>
        <v>67937.916666666672</v>
      </c>
      <c r="M48" s="129">
        <f>23293*35/12</f>
        <v>67937.916666666672</v>
      </c>
      <c r="N48" s="129">
        <f t="shared" si="29"/>
        <v>801667.4166666664</v>
      </c>
      <c r="O48" s="92"/>
      <c r="P48" s="90">
        <f t="shared" si="30"/>
        <v>625300.58499999985</v>
      </c>
    </row>
    <row r="49" spans="1:16">
      <c r="A49" s="92">
        <v>2016</v>
      </c>
      <c r="B49" s="129">
        <f t="shared" ref="B49:H49" si="37">23293*35/12</f>
        <v>67937.916666666672</v>
      </c>
      <c r="C49" s="129">
        <f t="shared" si="37"/>
        <v>67937.916666666672</v>
      </c>
      <c r="D49" s="129">
        <f t="shared" si="37"/>
        <v>67937.916666666672</v>
      </c>
      <c r="E49" s="129">
        <f t="shared" si="37"/>
        <v>67937.916666666672</v>
      </c>
      <c r="F49" s="129">
        <f t="shared" si="37"/>
        <v>67937.916666666672</v>
      </c>
      <c r="G49" s="129">
        <f t="shared" si="37"/>
        <v>67937.916666666672</v>
      </c>
      <c r="H49" s="129">
        <f t="shared" si="37"/>
        <v>67937.916666666672</v>
      </c>
      <c r="I49" s="129">
        <f>23293*36/12</f>
        <v>69879</v>
      </c>
      <c r="J49" s="129">
        <f>23293*36/12</f>
        <v>69879</v>
      </c>
      <c r="K49" s="129">
        <f>23293*36/12</f>
        <v>69879</v>
      </c>
      <c r="L49" s="129">
        <f>23293*36/12</f>
        <v>69879</v>
      </c>
      <c r="M49" s="129">
        <f>23293*36/12</f>
        <v>69879</v>
      </c>
      <c r="N49" s="129">
        <f t="shared" si="29"/>
        <v>824960.41666666674</v>
      </c>
      <c r="O49" s="92"/>
      <c r="P49" s="90">
        <f t="shared" si="30"/>
        <v>643469.12500000012</v>
      </c>
    </row>
    <row r="50" spans="1:16">
      <c r="A50" s="92">
        <v>2017</v>
      </c>
      <c r="B50" s="129">
        <f t="shared" ref="B50:H50" si="38">23293*36/12</f>
        <v>69879</v>
      </c>
      <c r="C50" s="129">
        <f t="shared" si="38"/>
        <v>69879</v>
      </c>
      <c r="D50" s="129">
        <f t="shared" si="38"/>
        <v>69879</v>
      </c>
      <c r="E50" s="129">
        <f t="shared" si="38"/>
        <v>69879</v>
      </c>
      <c r="F50" s="129">
        <f t="shared" si="38"/>
        <v>69879</v>
      </c>
      <c r="G50" s="129">
        <f t="shared" si="38"/>
        <v>69879</v>
      </c>
      <c r="H50" s="129">
        <f t="shared" si="38"/>
        <v>69879</v>
      </c>
      <c r="I50" s="129">
        <f>23293*37/12</f>
        <v>71820.083333333328</v>
      </c>
      <c r="J50" s="129">
        <f>23293*37/12</f>
        <v>71820.083333333328</v>
      </c>
      <c r="K50" s="129">
        <f>23293*37/12</f>
        <v>71820.083333333328</v>
      </c>
      <c r="L50" s="129">
        <f>23293*37/12</f>
        <v>71820.083333333328</v>
      </c>
      <c r="M50" s="129">
        <f>23293*37/12</f>
        <v>71820.083333333328</v>
      </c>
      <c r="N50" s="129">
        <f t="shared" si="29"/>
        <v>848253.41666666686</v>
      </c>
      <c r="O50" s="92"/>
      <c r="P50" s="116">
        <f t="shared" si="30"/>
        <v>661637.66500000015</v>
      </c>
    </row>
    <row r="51" spans="1:16">
      <c r="A51" s="92">
        <v>2018</v>
      </c>
      <c r="B51" s="131">
        <f t="shared" ref="B51:H51" si="39">23293*37/12</f>
        <v>71820.083333333328</v>
      </c>
      <c r="C51" s="131">
        <f t="shared" si="39"/>
        <v>71820.083333333328</v>
      </c>
      <c r="D51" s="131">
        <f t="shared" si="39"/>
        <v>71820.083333333328</v>
      </c>
      <c r="E51" s="131">
        <f t="shared" si="39"/>
        <v>71820.083333333328</v>
      </c>
      <c r="F51" s="131">
        <f t="shared" si="39"/>
        <v>71820.083333333328</v>
      </c>
      <c r="G51" s="131">
        <f t="shared" si="39"/>
        <v>71820.083333333328</v>
      </c>
      <c r="H51" s="131">
        <f t="shared" si="39"/>
        <v>71820.083333333328</v>
      </c>
      <c r="I51" s="131"/>
      <c r="J51" s="131"/>
      <c r="K51" s="131"/>
      <c r="L51" s="131"/>
      <c r="M51" s="131"/>
      <c r="N51" s="132">
        <f t="shared" si="29"/>
        <v>502740.58333333326</v>
      </c>
      <c r="O51" s="92"/>
      <c r="P51" s="115">
        <f t="shared" si="30"/>
        <v>392137.65499999997</v>
      </c>
    </row>
    <row r="52" spans="1:16">
      <c r="A52" s="92"/>
      <c r="B52" s="129">
        <f>SUM(B41:B51)</f>
        <v>630852.08333333337</v>
      </c>
      <c r="C52" s="129">
        <f t="shared" ref="C52:N52" si="40">SUM(C41:C51)</f>
        <v>630852.08333333337</v>
      </c>
      <c r="D52" s="129">
        <f t="shared" si="40"/>
        <v>630852.08333333337</v>
      </c>
      <c r="E52" s="129">
        <f t="shared" si="40"/>
        <v>630852.08333333337</v>
      </c>
      <c r="F52" s="129">
        <f t="shared" si="40"/>
        <v>630852.08333333337</v>
      </c>
      <c r="G52" s="129">
        <f t="shared" si="40"/>
        <v>630852.08333333337</v>
      </c>
      <c r="H52" s="129">
        <f t="shared" si="40"/>
        <v>630852.08333333337</v>
      </c>
      <c r="I52" s="129">
        <f t="shared" si="40"/>
        <v>630852.08333333337</v>
      </c>
      <c r="J52" s="129">
        <f t="shared" si="40"/>
        <v>630852.08333333337</v>
      </c>
      <c r="K52" s="129">
        <f t="shared" si="40"/>
        <v>630852.08333333337</v>
      </c>
      <c r="L52" s="129">
        <f t="shared" si="40"/>
        <v>630852.08333333337</v>
      </c>
      <c r="M52" s="129">
        <f t="shared" si="40"/>
        <v>630852.08333333337</v>
      </c>
      <c r="N52" s="129">
        <f t="shared" si="40"/>
        <v>7570225</v>
      </c>
      <c r="O52" s="92"/>
      <c r="P52" s="90">
        <f>SUM(P41:P51)</f>
        <v>5904775.5</v>
      </c>
    </row>
    <row r="53" spans="1:16" ht="15">
      <c r="A53" s="92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33"/>
      <c r="O53" s="92"/>
    </row>
    <row r="54" spans="1:16">
      <c r="A54" s="127" t="s">
        <v>112</v>
      </c>
      <c r="B54" s="92"/>
      <c r="C54" s="92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92"/>
      <c r="O54" s="92"/>
    </row>
    <row r="55" spans="1:16">
      <c r="A55" s="92" t="s">
        <v>20</v>
      </c>
      <c r="B55" s="92"/>
      <c r="C55" s="134" t="s">
        <v>113</v>
      </c>
      <c r="D55" s="135" t="s">
        <v>100</v>
      </c>
      <c r="E55" s="135" t="s">
        <v>101</v>
      </c>
      <c r="F55" s="134" t="s">
        <v>102</v>
      </c>
      <c r="G55" s="135" t="s">
        <v>103</v>
      </c>
      <c r="H55" s="135" t="s">
        <v>104</v>
      </c>
      <c r="I55" s="134" t="s">
        <v>105</v>
      </c>
      <c r="J55" s="135" t="s">
        <v>106</v>
      </c>
      <c r="K55" s="135" t="s">
        <v>107</v>
      </c>
      <c r="L55" s="134" t="s">
        <v>108</v>
      </c>
      <c r="M55" s="135" t="s">
        <v>109</v>
      </c>
      <c r="N55" s="134" t="s">
        <v>110</v>
      </c>
      <c r="O55" s="135" t="s">
        <v>15</v>
      </c>
      <c r="P55" s="122">
        <v>0.78</v>
      </c>
    </row>
    <row r="56" spans="1:16">
      <c r="A56" s="92">
        <v>2008</v>
      </c>
      <c r="B56" s="92">
        <v>11.83</v>
      </c>
      <c r="C56" s="92"/>
      <c r="D56" s="129"/>
      <c r="E56" s="136"/>
      <c r="F56" s="129"/>
      <c r="G56" s="92"/>
      <c r="H56" s="129"/>
      <c r="I56" s="129"/>
      <c r="J56" s="129">
        <f>23293*11.83/12</f>
        <v>22963.015833333335</v>
      </c>
      <c r="K56" s="129">
        <f>23293*11.83/12</f>
        <v>22963.015833333335</v>
      </c>
      <c r="L56" s="129">
        <f>23293*11.83/12</f>
        <v>22963.015833333335</v>
      </c>
      <c r="M56" s="129">
        <f>23293*11.83/12</f>
        <v>22963.015833333335</v>
      </c>
      <c r="N56" s="129">
        <f>23293*11.83/12</f>
        <v>22963.015833333335</v>
      </c>
      <c r="O56" s="129">
        <f>SUM(C56:N56)</f>
        <v>114815.07916666668</v>
      </c>
      <c r="P56" s="90">
        <f>SUM(O56)*$P$55</f>
        <v>89555.761750000005</v>
      </c>
    </row>
    <row r="57" spans="1:16">
      <c r="A57" s="92">
        <v>2009</v>
      </c>
      <c r="B57" s="137">
        <v>13.21</v>
      </c>
      <c r="C57" s="137">
        <f>23293*$B$57/12</f>
        <v>25641.710833333334</v>
      </c>
      <c r="D57" s="137">
        <f t="shared" ref="D57:N57" si="41">23293*$B$57/12</f>
        <v>25641.710833333334</v>
      </c>
      <c r="E57" s="137">
        <f t="shared" si="41"/>
        <v>25641.710833333334</v>
      </c>
      <c r="F57" s="137">
        <f t="shared" si="41"/>
        <v>25641.710833333334</v>
      </c>
      <c r="G57" s="137">
        <f t="shared" si="41"/>
        <v>25641.710833333334</v>
      </c>
      <c r="H57" s="137">
        <f t="shared" si="41"/>
        <v>25641.710833333334</v>
      </c>
      <c r="I57" s="137">
        <f t="shared" si="41"/>
        <v>25641.710833333334</v>
      </c>
      <c r="J57" s="137">
        <f t="shared" si="41"/>
        <v>25641.710833333334</v>
      </c>
      <c r="K57" s="137">
        <f t="shared" si="41"/>
        <v>25641.710833333334</v>
      </c>
      <c r="L57" s="137">
        <f t="shared" si="41"/>
        <v>25641.710833333334</v>
      </c>
      <c r="M57" s="137">
        <f t="shared" si="41"/>
        <v>25641.710833333334</v>
      </c>
      <c r="N57" s="137">
        <f t="shared" si="41"/>
        <v>25641.710833333334</v>
      </c>
      <c r="O57" s="129">
        <f t="shared" ref="O57:O66" si="42">SUM(C57:N57)</f>
        <v>307700.53000000003</v>
      </c>
      <c r="P57" s="90">
        <f t="shared" ref="P57:P66" si="43">SUM(O57)*$P$55</f>
        <v>240006.41340000002</v>
      </c>
    </row>
    <row r="58" spans="1:16">
      <c r="A58" s="92">
        <v>2010</v>
      </c>
      <c r="B58" s="137">
        <f t="shared" ref="B58:B66" si="44">SUM(B57)*103%</f>
        <v>13.606300000000001</v>
      </c>
      <c r="C58" s="137">
        <f>23293*$B$58/12</f>
        <v>26410.962158333336</v>
      </c>
      <c r="D58" s="137">
        <f t="shared" ref="D58:N58" si="45">23293*$B$58/12</f>
        <v>26410.962158333336</v>
      </c>
      <c r="E58" s="137">
        <f t="shared" si="45"/>
        <v>26410.962158333336</v>
      </c>
      <c r="F58" s="137">
        <f t="shared" si="45"/>
        <v>26410.962158333336</v>
      </c>
      <c r="G58" s="137">
        <f t="shared" si="45"/>
        <v>26410.962158333336</v>
      </c>
      <c r="H58" s="137">
        <f t="shared" si="45"/>
        <v>26410.962158333336</v>
      </c>
      <c r="I58" s="137">
        <f t="shared" si="45"/>
        <v>26410.962158333336</v>
      </c>
      <c r="J58" s="137">
        <f t="shared" si="45"/>
        <v>26410.962158333336</v>
      </c>
      <c r="K58" s="137">
        <f t="shared" si="45"/>
        <v>26410.962158333336</v>
      </c>
      <c r="L58" s="137">
        <f t="shared" si="45"/>
        <v>26410.962158333336</v>
      </c>
      <c r="M58" s="137">
        <f t="shared" si="45"/>
        <v>26410.962158333336</v>
      </c>
      <c r="N58" s="137">
        <f t="shared" si="45"/>
        <v>26410.962158333336</v>
      </c>
      <c r="O58" s="129">
        <f t="shared" si="42"/>
        <v>316931.54590000003</v>
      </c>
      <c r="P58" s="90">
        <f t="shared" si="43"/>
        <v>247206.60580200003</v>
      </c>
    </row>
    <row r="59" spans="1:16">
      <c r="A59" s="92">
        <v>2011</v>
      </c>
      <c r="B59" s="137">
        <f t="shared" si="44"/>
        <v>14.014489000000001</v>
      </c>
      <c r="C59" s="137">
        <f>23293*$B$59/12</f>
        <v>27203.291023083337</v>
      </c>
      <c r="D59" s="137">
        <f t="shared" ref="D59:N59" si="46">23293*$B$59/12</f>
        <v>27203.291023083337</v>
      </c>
      <c r="E59" s="137">
        <f t="shared" si="46"/>
        <v>27203.291023083337</v>
      </c>
      <c r="F59" s="137">
        <f t="shared" si="46"/>
        <v>27203.291023083337</v>
      </c>
      <c r="G59" s="137">
        <f t="shared" si="46"/>
        <v>27203.291023083337</v>
      </c>
      <c r="H59" s="137">
        <f t="shared" si="46"/>
        <v>27203.291023083337</v>
      </c>
      <c r="I59" s="137">
        <f t="shared" si="46"/>
        <v>27203.291023083337</v>
      </c>
      <c r="J59" s="137">
        <f t="shared" si="46"/>
        <v>27203.291023083337</v>
      </c>
      <c r="K59" s="137">
        <f t="shared" si="46"/>
        <v>27203.291023083337</v>
      </c>
      <c r="L59" s="137">
        <f t="shared" si="46"/>
        <v>27203.291023083337</v>
      </c>
      <c r="M59" s="137">
        <f t="shared" si="46"/>
        <v>27203.291023083337</v>
      </c>
      <c r="N59" s="137">
        <f t="shared" si="46"/>
        <v>27203.291023083337</v>
      </c>
      <c r="O59" s="129">
        <f t="shared" si="42"/>
        <v>326439.49227699992</v>
      </c>
      <c r="P59" s="90">
        <f t="shared" si="43"/>
        <v>254622.80397605995</v>
      </c>
    </row>
    <row r="60" spans="1:16">
      <c r="A60" s="92">
        <v>2012</v>
      </c>
      <c r="B60" s="137">
        <f t="shared" si="44"/>
        <v>14.434923670000002</v>
      </c>
      <c r="C60" s="137">
        <f>23293*$B$60/12</f>
        <v>28019.389753775835</v>
      </c>
      <c r="D60" s="137">
        <f t="shared" ref="D60:N60" si="47">23293*$B$60/12</f>
        <v>28019.389753775835</v>
      </c>
      <c r="E60" s="137">
        <f t="shared" si="47"/>
        <v>28019.389753775835</v>
      </c>
      <c r="F60" s="137">
        <f t="shared" si="47"/>
        <v>28019.389753775835</v>
      </c>
      <c r="G60" s="137">
        <f t="shared" si="47"/>
        <v>28019.389753775835</v>
      </c>
      <c r="H60" s="137">
        <f t="shared" si="47"/>
        <v>28019.389753775835</v>
      </c>
      <c r="I60" s="137">
        <f t="shared" si="47"/>
        <v>28019.389753775835</v>
      </c>
      <c r="J60" s="137">
        <f t="shared" si="47"/>
        <v>28019.389753775835</v>
      </c>
      <c r="K60" s="137">
        <f t="shared" si="47"/>
        <v>28019.389753775835</v>
      </c>
      <c r="L60" s="137">
        <f t="shared" si="47"/>
        <v>28019.389753775835</v>
      </c>
      <c r="M60" s="137">
        <f t="shared" si="47"/>
        <v>28019.389753775835</v>
      </c>
      <c r="N60" s="137">
        <f t="shared" si="47"/>
        <v>28019.389753775835</v>
      </c>
      <c r="O60" s="129">
        <f t="shared" si="42"/>
        <v>336232.67704531009</v>
      </c>
      <c r="P60" s="90">
        <f t="shared" si="43"/>
        <v>262261.48809534189</v>
      </c>
    </row>
    <row r="61" spans="1:16">
      <c r="A61" s="92">
        <v>2013</v>
      </c>
      <c r="B61" s="137">
        <f t="shared" si="44"/>
        <v>14.867971380100002</v>
      </c>
      <c r="C61" s="137">
        <f>23293*$B$61/12</f>
        <v>28859.971446389114</v>
      </c>
      <c r="D61" s="137">
        <f t="shared" ref="D61:N61" si="48">23293*$B$61/12</f>
        <v>28859.971446389114</v>
      </c>
      <c r="E61" s="137">
        <f t="shared" si="48"/>
        <v>28859.971446389114</v>
      </c>
      <c r="F61" s="137">
        <f t="shared" si="48"/>
        <v>28859.971446389114</v>
      </c>
      <c r="G61" s="137">
        <f t="shared" si="48"/>
        <v>28859.971446389114</v>
      </c>
      <c r="H61" s="137">
        <f t="shared" si="48"/>
        <v>28859.971446389114</v>
      </c>
      <c r="I61" s="137">
        <f t="shared" si="48"/>
        <v>28859.971446389114</v>
      </c>
      <c r="J61" s="137">
        <f t="shared" si="48"/>
        <v>28859.971446389114</v>
      </c>
      <c r="K61" s="137">
        <f t="shared" si="48"/>
        <v>28859.971446389114</v>
      </c>
      <c r="L61" s="137">
        <f t="shared" si="48"/>
        <v>28859.971446389114</v>
      </c>
      <c r="M61" s="137">
        <f t="shared" si="48"/>
        <v>28859.971446389114</v>
      </c>
      <c r="N61" s="137">
        <f t="shared" si="48"/>
        <v>28859.971446389114</v>
      </c>
      <c r="O61" s="129">
        <f t="shared" si="42"/>
        <v>346319.65735666925</v>
      </c>
      <c r="P61" s="90">
        <f t="shared" si="43"/>
        <v>270129.33273820201</v>
      </c>
    </row>
    <row r="62" spans="1:16">
      <c r="A62" s="92">
        <v>2014</v>
      </c>
      <c r="B62" s="137">
        <f t="shared" si="44"/>
        <v>15.314010521503002</v>
      </c>
      <c r="C62" s="137">
        <f>23293*$B$62/12</f>
        <v>29725.770589780786</v>
      </c>
      <c r="D62" s="137">
        <f t="shared" ref="D62:N62" si="49">23293*$B$62/12</f>
        <v>29725.770589780786</v>
      </c>
      <c r="E62" s="137">
        <f t="shared" si="49"/>
        <v>29725.770589780786</v>
      </c>
      <c r="F62" s="137">
        <f t="shared" si="49"/>
        <v>29725.770589780786</v>
      </c>
      <c r="G62" s="137">
        <f t="shared" si="49"/>
        <v>29725.770589780786</v>
      </c>
      <c r="H62" s="137">
        <f t="shared" si="49"/>
        <v>29725.770589780786</v>
      </c>
      <c r="I62" s="137">
        <f t="shared" si="49"/>
        <v>29725.770589780786</v>
      </c>
      <c r="J62" s="137">
        <f t="shared" si="49"/>
        <v>29725.770589780786</v>
      </c>
      <c r="K62" s="137">
        <f t="shared" si="49"/>
        <v>29725.770589780786</v>
      </c>
      <c r="L62" s="137">
        <f t="shared" si="49"/>
        <v>29725.770589780786</v>
      </c>
      <c r="M62" s="137">
        <f t="shared" si="49"/>
        <v>29725.770589780786</v>
      </c>
      <c r="N62" s="137">
        <f t="shared" si="49"/>
        <v>29725.770589780786</v>
      </c>
      <c r="O62" s="129">
        <f t="shared" si="42"/>
        <v>356709.24707736936</v>
      </c>
      <c r="P62" s="90">
        <f t="shared" si="43"/>
        <v>278233.21272034809</v>
      </c>
    </row>
    <row r="63" spans="1:16">
      <c r="A63" s="92">
        <v>2015</v>
      </c>
      <c r="B63" s="137">
        <f t="shared" si="44"/>
        <v>15.773430837148092</v>
      </c>
      <c r="C63" s="137">
        <f>23293*$B$63/12</f>
        <v>30617.543707474208</v>
      </c>
      <c r="D63" s="137">
        <f t="shared" ref="D63:N63" si="50">23293*$B$63/12</f>
        <v>30617.543707474208</v>
      </c>
      <c r="E63" s="137">
        <f t="shared" si="50"/>
        <v>30617.543707474208</v>
      </c>
      <c r="F63" s="137">
        <f t="shared" si="50"/>
        <v>30617.543707474208</v>
      </c>
      <c r="G63" s="137">
        <f t="shared" si="50"/>
        <v>30617.543707474208</v>
      </c>
      <c r="H63" s="137">
        <f t="shared" si="50"/>
        <v>30617.543707474208</v>
      </c>
      <c r="I63" s="137">
        <f t="shared" si="50"/>
        <v>30617.543707474208</v>
      </c>
      <c r="J63" s="137">
        <f t="shared" si="50"/>
        <v>30617.543707474208</v>
      </c>
      <c r="K63" s="137">
        <f t="shared" si="50"/>
        <v>30617.543707474208</v>
      </c>
      <c r="L63" s="137">
        <f t="shared" si="50"/>
        <v>30617.543707474208</v>
      </c>
      <c r="M63" s="137">
        <f t="shared" si="50"/>
        <v>30617.543707474208</v>
      </c>
      <c r="N63" s="137">
        <f t="shared" si="50"/>
        <v>30617.543707474208</v>
      </c>
      <c r="O63" s="129">
        <f t="shared" si="42"/>
        <v>367410.52448969038</v>
      </c>
      <c r="P63" s="90">
        <f t="shared" si="43"/>
        <v>286580.20910195849</v>
      </c>
    </row>
    <row r="64" spans="1:16">
      <c r="A64" s="92">
        <v>2016</v>
      </c>
      <c r="B64" s="137">
        <f t="shared" si="44"/>
        <v>16.246633762262537</v>
      </c>
      <c r="C64" s="137">
        <f>23293*$B$64/12</f>
        <v>31536.070018698436</v>
      </c>
      <c r="D64" s="137">
        <f t="shared" ref="D64:N64" si="51">23293*$B$64/12</f>
        <v>31536.070018698436</v>
      </c>
      <c r="E64" s="137">
        <f t="shared" si="51"/>
        <v>31536.070018698436</v>
      </c>
      <c r="F64" s="137">
        <f t="shared" si="51"/>
        <v>31536.070018698436</v>
      </c>
      <c r="G64" s="137">
        <f t="shared" si="51"/>
        <v>31536.070018698436</v>
      </c>
      <c r="H64" s="137">
        <f t="shared" si="51"/>
        <v>31536.070018698436</v>
      </c>
      <c r="I64" s="137">
        <f t="shared" si="51"/>
        <v>31536.070018698436</v>
      </c>
      <c r="J64" s="137">
        <f t="shared" si="51"/>
        <v>31536.070018698436</v>
      </c>
      <c r="K64" s="137">
        <f t="shared" si="51"/>
        <v>31536.070018698436</v>
      </c>
      <c r="L64" s="137">
        <f t="shared" si="51"/>
        <v>31536.070018698436</v>
      </c>
      <c r="M64" s="137">
        <f t="shared" si="51"/>
        <v>31536.070018698436</v>
      </c>
      <c r="N64" s="137">
        <f t="shared" si="51"/>
        <v>31536.070018698436</v>
      </c>
      <c r="O64" s="129">
        <f t="shared" si="42"/>
        <v>378432.8402243813</v>
      </c>
      <c r="P64" s="90">
        <f t="shared" si="43"/>
        <v>295177.6153750174</v>
      </c>
    </row>
    <row r="65" spans="1:16">
      <c r="A65" s="92">
        <v>2017</v>
      </c>
      <c r="B65" s="137">
        <f t="shared" si="44"/>
        <v>16.734032775130412</v>
      </c>
      <c r="C65" s="137">
        <f>23293*$B$65/12</f>
        <v>32482.15211925939</v>
      </c>
      <c r="D65" s="137">
        <f t="shared" ref="D65:N65" si="52">23293*$B$65/12</f>
        <v>32482.15211925939</v>
      </c>
      <c r="E65" s="137">
        <f t="shared" si="52"/>
        <v>32482.15211925939</v>
      </c>
      <c r="F65" s="137">
        <f t="shared" si="52"/>
        <v>32482.15211925939</v>
      </c>
      <c r="G65" s="137">
        <f t="shared" si="52"/>
        <v>32482.15211925939</v>
      </c>
      <c r="H65" s="137">
        <f t="shared" si="52"/>
        <v>32482.15211925939</v>
      </c>
      <c r="I65" s="137">
        <f t="shared" si="52"/>
        <v>32482.15211925939</v>
      </c>
      <c r="J65" s="137">
        <f t="shared" si="52"/>
        <v>32482.15211925939</v>
      </c>
      <c r="K65" s="137">
        <f t="shared" si="52"/>
        <v>32482.15211925939</v>
      </c>
      <c r="L65" s="137">
        <f t="shared" si="52"/>
        <v>32482.15211925939</v>
      </c>
      <c r="M65" s="137">
        <f t="shared" si="52"/>
        <v>32482.15211925939</v>
      </c>
      <c r="N65" s="137">
        <f t="shared" si="52"/>
        <v>32482.15211925939</v>
      </c>
      <c r="O65" s="129">
        <f t="shared" si="42"/>
        <v>389785.82543111272</v>
      </c>
      <c r="P65" s="90">
        <f t="shared" si="43"/>
        <v>304032.94383626792</v>
      </c>
    </row>
    <row r="66" spans="1:16">
      <c r="A66" s="92">
        <v>2018</v>
      </c>
      <c r="B66" s="137">
        <f t="shared" si="44"/>
        <v>17.236053758384326</v>
      </c>
      <c r="C66" s="138">
        <f>23293*$B$66/12</f>
        <v>33456.616682837172</v>
      </c>
      <c r="D66" s="138">
        <f t="shared" ref="D66:I66" si="53">23293*$B$66/12</f>
        <v>33456.616682837172</v>
      </c>
      <c r="E66" s="138">
        <f t="shared" si="53"/>
        <v>33456.616682837172</v>
      </c>
      <c r="F66" s="138">
        <f t="shared" si="53"/>
        <v>33456.616682837172</v>
      </c>
      <c r="G66" s="138">
        <f t="shared" si="53"/>
        <v>33456.616682837172</v>
      </c>
      <c r="H66" s="138">
        <f t="shared" si="53"/>
        <v>33456.616682837172</v>
      </c>
      <c r="I66" s="138">
        <f t="shared" si="53"/>
        <v>33456.616682837172</v>
      </c>
      <c r="J66" s="138"/>
      <c r="K66" s="138"/>
      <c r="L66" s="138"/>
      <c r="M66" s="138"/>
      <c r="N66" s="138"/>
      <c r="O66" s="131">
        <f t="shared" si="42"/>
        <v>234196.31677986018</v>
      </c>
      <c r="P66" s="115">
        <f t="shared" si="43"/>
        <v>182673.12708829096</v>
      </c>
    </row>
    <row r="67" spans="1:16">
      <c r="A67" s="92"/>
      <c r="B67" s="129"/>
      <c r="C67" s="129">
        <f>SUM(C56:C66)</f>
        <v>293953.47833296494</v>
      </c>
      <c r="D67" s="129">
        <f t="shared" ref="D67:N67" si="54">SUM(D56:D66)</f>
        <v>293953.47833296494</v>
      </c>
      <c r="E67" s="129">
        <f t="shared" si="54"/>
        <v>293953.47833296494</v>
      </c>
      <c r="F67" s="129">
        <f t="shared" si="54"/>
        <v>293953.47833296494</v>
      </c>
      <c r="G67" s="129">
        <f t="shared" si="54"/>
        <v>293953.47833296494</v>
      </c>
      <c r="H67" s="129">
        <f t="shared" si="54"/>
        <v>293953.47833296494</v>
      </c>
      <c r="I67" s="129">
        <f t="shared" si="54"/>
        <v>293953.47833296494</v>
      </c>
      <c r="J67" s="129">
        <f t="shared" si="54"/>
        <v>283459.87748346111</v>
      </c>
      <c r="K67" s="129">
        <f t="shared" si="54"/>
        <v>283459.87748346111</v>
      </c>
      <c r="L67" s="129">
        <f t="shared" si="54"/>
        <v>283459.87748346111</v>
      </c>
      <c r="M67" s="129">
        <f t="shared" si="54"/>
        <v>283459.87748346111</v>
      </c>
      <c r="N67" s="129">
        <f t="shared" si="54"/>
        <v>283459.87748346111</v>
      </c>
      <c r="O67" s="129">
        <f>SUM(O56:O66)</f>
        <v>3474973.7357480605</v>
      </c>
      <c r="P67" s="90">
        <f>SUM(P56:P66)</f>
        <v>2710479.5138834869</v>
      </c>
    </row>
    <row r="68" spans="1:16"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</row>
    <row r="69" spans="1:16"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</row>
    <row r="70" spans="1:16">
      <c r="A70" s="118" t="s">
        <v>114</v>
      </c>
      <c r="B70" s="118" t="s">
        <v>115</v>
      </c>
      <c r="C70" s="118" t="s">
        <v>116</v>
      </c>
      <c r="D70" s="118"/>
    </row>
    <row r="72" spans="1:16">
      <c r="A72" t="s">
        <v>20</v>
      </c>
      <c r="B72" s="119" t="s">
        <v>99</v>
      </c>
      <c r="C72" s="119" t="s">
        <v>100</v>
      </c>
      <c r="D72" s="119" t="s">
        <v>101</v>
      </c>
      <c r="E72" s="119" t="s">
        <v>102</v>
      </c>
      <c r="F72" s="119" t="s">
        <v>103</v>
      </c>
      <c r="G72" s="119" t="s">
        <v>104</v>
      </c>
      <c r="H72" s="119" t="s">
        <v>105</v>
      </c>
      <c r="I72" s="119" t="s">
        <v>106</v>
      </c>
      <c r="J72" s="119" t="s">
        <v>107</v>
      </c>
      <c r="K72" s="119" t="s">
        <v>108</v>
      </c>
      <c r="L72" s="119" t="s">
        <v>109</v>
      </c>
      <c r="M72" s="121" t="s">
        <v>110</v>
      </c>
      <c r="N72" s="121" t="s">
        <v>15</v>
      </c>
      <c r="P72" s="122">
        <v>0.78</v>
      </c>
    </row>
    <row r="74" spans="1:16">
      <c r="A74">
        <v>2008</v>
      </c>
      <c r="B74" s="125"/>
      <c r="C74" s="125"/>
      <c r="D74" s="125"/>
      <c r="E74" s="125"/>
      <c r="F74" s="125"/>
      <c r="G74" s="125"/>
      <c r="H74" s="125"/>
      <c r="I74" s="125">
        <f>360*81.75</f>
        <v>29430</v>
      </c>
      <c r="J74" s="125">
        <f>360*81.75</f>
        <v>29430</v>
      </c>
      <c r="K74" s="125">
        <f>360*81.75</f>
        <v>29430</v>
      </c>
      <c r="L74" s="125">
        <f>360*81.75</f>
        <v>29430</v>
      </c>
      <c r="M74" s="125">
        <f>360*81.75</f>
        <v>29430</v>
      </c>
      <c r="N74" s="125">
        <f>SUM(B74:M74)</f>
        <v>147150</v>
      </c>
      <c r="P74" s="125">
        <f>SUM(N74)*$P$72</f>
        <v>114777</v>
      </c>
    </row>
    <row r="75" spans="1:16">
      <c r="A75">
        <v>2009</v>
      </c>
      <c r="B75" s="125">
        <f>360*81.75</f>
        <v>29430</v>
      </c>
      <c r="C75" s="125">
        <f t="shared" ref="C75:M76" si="55">360*81.75</f>
        <v>29430</v>
      </c>
      <c r="D75" s="125">
        <f t="shared" si="55"/>
        <v>29430</v>
      </c>
      <c r="E75" s="125">
        <f t="shared" si="55"/>
        <v>29430</v>
      </c>
      <c r="F75" s="125">
        <f t="shared" si="55"/>
        <v>29430</v>
      </c>
      <c r="G75" s="125">
        <f t="shared" si="55"/>
        <v>29430</v>
      </c>
      <c r="H75" s="125">
        <f t="shared" si="55"/>
        <v>29430</v>
      </c>
      <c r="I75" s="125">
        <f t="shared" si="55"/>
        <v>29430</v>
      </c>
      <c r="J75" s="125">
        <f t="shared" si="55"/>
        <v>29430</v>
      </c>
      <c r="K75" s="125">
        <f t="shared" si="55"/>
        <v>29430</v>
      </c>
      <c r="L75" s="125">
        <f t="shared" si="55"/>
        <v>29430</v>
      </c>
      <c r="M75" s="125">
        <f t="shared" si="55"/>
        <v>29430</v>
      </c>
      <c r="N75" s="125">
        <f>SUM(B75:M75)</f>
        <v>353160</v>
      </c>
      <c r="P75" s="125">
        <f t="shared" ref="P75:P84" si="56">SUM(N75)*$P$72</f>
        <v>275464.8</v>
      </c>
    </row>
    <row r="76" spans="1:16">
      <c r="A76">
        <v>2010</v>
      </c>
      <c r="B76" s="125">
        <f>360*81.75</f>
        <v>29430</v>
      </c>
      <c r="C76" s="125">
        <f t="shared" si="55"/>
        <v>29430</v>
      </c>
      <c r="D76" s="125">
        <f t="shared" si="55"/>
        <v>29430</v>
      </c>
      <c r="E76" s="125">
        <f t="shared" si="55"/>
        <v>29430</v>
      </c>
      <c r="F76" s="125">
        <f t="shared" si="55"/>
        <v>29430</v>
      </c>
      <c r="G76" s="125">
        <f t="shared" si="55"/>
        <v>29430</v>
      </c>
      <c r="H76" s="125">
        <f t="shared" si="55"/>
        <v>29430</v>
      </c>
      <c r="I76" s="125">
        <f>360*109</f>
        <v>39240</v>
      </c>
      <c r="J76" s="125">
        <f t="shared" ref="J76:M78" si="57">360*109</f>
        <v>39240</v>
      </c>
      <c r="K76" s="125">
        <f t="shared" si="57"/>
        <v>39240</v>
      </c>
      <c r="L76" s="125">
        <f t="shared" si="57"/>
        <v>39240</v>
      </c>
      <c r="M76" s="125">
        <f t="shared" si="57"/>
        <v>39240</v>
      </c>
      <c r="N76" s="125">
        <f t="shared" ref="N76:N84" si="58">SUM(B76:M76)</f>
        <v>402210</v>
      </c>
      <c r="P76" s="125">
        <f t="shared" si="56"/>
        <v>313723.8</v>
      </c>
    </row>
    <row r="77" spans="1:16">
      <c r="A77">
        <v>2011</v>
      </c>
      <c r="B77" s="125">
        <f>360*109</f>
        <v>39240</v>
      </c>
      <c r="C77" s="125">
        <f t="shared" ref="C77:I79" si="59">360*109</f>
        <v>39240</v>
      </c>
      <c r="D77" s="125">
        <f t="shared" si="59"/>
        <v>39240</v>
      </c>
      <c r="E77" s="125">
        <f t="shared" si="59"/>
        <v>39240</v>
      </c>
      <c r="F77" s="125">
        <f t="shared" si="59"/>
        <v>39240</v>
      </c>
      <c r="G77" s="125">
        <f t="shared" si="59"/>
        <v>39240</v>
      </c>
      <c r="H77" s="125">
        <f t="shared" si="59"/>
        <v>39240</v>
      </c>
      <c r="I77" s="125">
        <f t="shared" si="59"/>
        <v>39240</v>
      </c>
      <c r="J77" s="125">
        <f t="shared" si="57"/>
        <v>39240</v>
      </c>
      <c r="K77" s="125">
        <f t="shared" si="57"/>
        <v>39240</v>
      </c>
      <c r="L77" s="125">
        <f t="shared" si="57"/>
        <v>39240</v>
      </c>
      <c r="M77" s="125">
        <f t="shared" si="57"/>
        <v>39240</v>
      </c>
      <c r="N77" s="125">
        <f t="shared" si="58"/>
        <v>470880</v>
      </c>
      <c r="P77" s="125">
        <f t="shared" si="56"/>
        <v>367286.4</v>
      </c>
    </row>
    <row r="78" spans="1:16">
      <c r="A78">
        <v>2012</v>
      </c>
      <c r="B78" s="125">
        <f>360*109</f>
        <v>39240</v>
      </c>
      <c r="C78" s="125">
        <f t="shared" si="59"/>
        <v>39240</v>
      </c>
      <c r="D78" s="125">
        <f t="shared" si="59"/>
        <v>39240</v>
      </c>
      <c r="E78" s="125">
        <f t="shared" si="59"/>
        <v>39240</v>
      </c>
      <c r="F78" s="125">
        <f t="shared" si="59"/>
        <v>39240</v>
      </c>
      <c r="G78" s="125">
        <f t="shared" si="59"/>
        <v>39240</v>
      </c>
      <c r="H78" s="125">
        <f t="shared" si="59"/>
        <v>39240</v>
      </c>
      <c r="I78" s="125">
        <f t="shared" si="59"/>
        <v>39240</v>
      </c>
      <c r="J78" s="125">
        <f t="shared" si="57"/>
        <v>39240</v>
      </c>
      <c r="K78" s="125">
        <f t="shared" si="57"/>
        <v>39240</v>
      </c>
      <c r="L78" s="125">
        <f t="shared" si="57"/>
        <v>39240</v>
      </c>
      <c r="M78" s="125">
        <f t="shared" si="57"/>
        <v>39240</v>
      </c>
      <c r="N78" s="125">
        <f t="shared" si="58"/>
        <v>470880</v>
      </c>
      <c r="P78" s="125">
        <f t="shared" si="56"/>
        <v>367286.4</v>
      </c>
    </row>
    <row r="79" spans="1:16">
      <c r="A79">
        <v>2013</v>
      </c>
      <c r="B79" s="125">
        <f>360*109</f>
        <v>39240</v>
      </c>
      <c r="C79" s="125">
        <f t="shared" si="59"/>
        <v>39240</v>
      </c>
      <c r="D79" s="125">
        <f t="shared" si="59"/>
        <v>39240</v>
      </c>
      <c r="E79" s="125">
        <f t="shared" si="59"/>
        <v>39240</v>
      </c>
      <c r="F79" s="125">
        <f t="shared" si="59"/>
        <v>39240</v>
      </c>
      <c r="G79" s="125">
        <f t="shared" si="59"/>
        <v>39240</v>
      </c>
      <c r="H79" s="125">
        <f t="shared" si="59"/>
        <v>39240</v>
      </c>
      <c r="I79" s="125">
        <f>360*218</f>
        <v>78480</v>
      </c>
      <c r="J79" s="125">
        <f>360*218</f>
        <v>78480</v>
      </c>
      <c r="K79" s="125">
        <f>360*218</f>
        <v>78480</v>
      </c>
      <c r="L79" s="125">
        <f>360*218</f>
        <v>78480</v>
      </c>
      <c r="M79" s="125">
        <f>360*218</f>
        <v>78480</v>
      </c>
      <c r="N79" s="125">
        <f t="shared" si="58"/>
        <v>667080</v>
      </c>
      <c r="P79" s="125">
        <f t="shared" si="56"/>
        <v>520322.4</v>
      </c>
    </row>
    <row r="80" spans="1:16">
      <c r="A80">
        <v>2014</v>
      </c>
      <c r="B80" s="125">
        <f>360*218</f>
        <v>78480</v>
      </c>
      <c r="C80" s="125">
        <f t="shared" ref="C80:H80" si="60">360*218</f>
        <v>78480</v>
      </c>
      <c r="D80" s="125">
        <f t="shared" si="60"/>
        <v>78480</v>
      </c>
      <c r="E80" s="125">
        <f t="shared" si="60"/>
        <v>78480</v>
      </c>
      <c r="F80" s="125">
        <f t="shared" si="60"/>
        <v>78480</v>
      </c>
      <c r="G80" s="125">
        <f t="shared" si="60"/>
        <v>78480</v>
      </c>
      <c r="H80" s="125">
        <f t="shared" si="60"/>
        <v>78480</v>
      </c>
      <c r="I80" s="125">
        <f>360*231</f>
        <v>83160</v>
      </c>
      <c r="J80" s="125">
        <f>360*231</f>
        <v>83160</v>
      </c>
      <c r="K80" s="125">
        <f>360*231</f>
        <v>83160</v>
      </c>
      <c r="L80" s="125">
        <f>360*231</f>
        <v>83160</v>
      </c>
      <c r="M80" s="125">
        <f>360*231</f>
        <v>83160</v>
      </c>
      <c r="N80" s="125">
        <f t="shared" si="58"/>
        <v>965160</v>
      </c>
      <c r="P80" s="125">
        <f t="shared" si="56"/>
        <v>752824.8</v>
      </c>
    </row>
    <row r="81" spans="1:16">
      <c r="A81">
        <v>2015</v>
      </c>
      <c r="B81" s="125">
        <f t="shared" ref="B81:M82" si="61">360*231</f>
        <v>83160</v>
      </c>
      <c r="C81" s="125">
        <f t="shared" si="61"/>
        <v>83160</v>
      </c>
      <c r="D81" s="125">
        <f t="shared" si="61"/>
        <v>83160</v>
      </c>
      <c r="E81" s="125">
        <f t="shared" si="61"/>
        <v>83160</v>
      </c>
      <c r="F81" s="125">
        <f t="shared" si="61"/>
        <v>83160</v>
      </c>
      <c r="G81" s="125">
        <f t="shared" si="61"/>
        <v>83160</v>
      </c>
      <c r="H81" s="125">
        <f t="shared" si="61"/>
        <v>83160</v>
      </c>
      <c r="I81" s="125">
        <f t="shared" si="61"/>
        <v>83160</v>
      </c>
      <c r="J81" s="125">
        <f t="shared" si="61"/>
        <v>83160</v>
      </c>
      <c r="K81" s="125">
        <f t="shared" si="61"/>
        <v>83160</v>
      </c>
      <c r="L81" s="125">
        <f t="shared" si="61"/>
        <v>83160</v>
      </c>
      <c r="M81" s="125">
        <f t="shared" si="61"/>
        <v>83160</v>
      </c>
      <c r="N81" s="125">
        <f t="shared" si="58"/>
        <v>997920</v>
      </c>
      <c r="P81" s="125">
        <f t="shared" si="56"/>
        <v>778377.6</v>
      </c>
    </row>
    <row r="82" spans="1:16">
      <c r="A82">
        <v>2016</v>
      </c>
      <c r="B82" s="125">
        <f t="shared" si="61"/>
        <v>83160</v>
      </c>
      <c r="C82" s="125">
        <f t="shared" si="61"/>
        <v>83160</v>
      </c>
      <c r="D82" s="125">
        <f t="shared" si="61"/>
        <v>83160</v>
      </c>
      <c r="E82" s="125">
        <f t="shared" si="61"/>
        <v>83160</v>
      </c>
      <c r="F82" s="125">
        <f t="shared" si="61"/>
        <v>83160</v>
      </c>
      <c r="G82" s="125">
        <f t="shared" si="61"/>
        <v>83160</v>
      </c>
      <c r="H82" s="125">
        <f t="shared" si="61"/>
        <v>83160</v>
      </c>
      <c r="I82" s="125">
        <f>360*236</f>
        <v>84960</v>
      </c>
      <c r="J82" s="125">
        <f>360*236</f>
        <v>84960</v>
      </c>
      <c r="K82" s="125">
        <f>360*236</f>
        <v>84960</v>
      </c>
      <c r="L82" s="125">
        <f>360*236</f>
        <v>84960</v>
      </c>
      <c r="M82" s="125">
        <f>360*236</f>
        <v>84960</v>
      </c>
      <c r="N82" s="125">
        <f t="shared" si="58"/>
        <v>1006920</v>
      </c>
      <c r="O82" s="125">
        <f>SUM(N80:N84)</f>
        <v>4584240</v>
      </c>
      <c r="P82" s="125">
        <f t="shared" si="56"/>
        <v>785397.6</v>
      </c>
    </row>
    <row r="83" spans="1:16">
      <c r="A83">
        <v>2017</v>
      </c>
      <c r="B83" s="125">
        <f t="shared" ref="B83:M84" si="62">360*236</f>
        <v>84960</v>
      </c>
      <c r="C83" s="125">
        <f t="shared" si="62"/>
        <v>84960</v>
      </c>
      <c r="D83" s="125">
        <f t="shared" si="62"/>
        <v>84960</v>
      </c>
      <c r="E83" s="125">
        <f t="shared" si="62"/>
        <v>84960</v>
      </c>
      <c r="F83" s="125">
        <f t="shared" si="62"/>
        <v>84960</v>
      </c>
      <c r="G83" s="125">
        <f t="shared" si="62"/>
        <v>84960</v>
      </c>
      <c r="H83" s="125">
        <f t="shared" si="62"/>
        <v>84960</v>
      </c>
      <c r="I83" s="125">
        <f t="shared" si="62"/>
        <v>84960</v>
      </c>
      <c r="J83" s="125">
        <f t="shared" si="62"/>
        <v>84960</v>
      </c>
      <c r="K83" s="125">
        <f t="shared" si="62"/>
        <v>84960</v>
      </c>
      <c r="L83" s="125">
        <f t="shared" si="62"/>
        <v>84960</v>
      </c>
      <c r="M83" s="125">
        <f t="shared" si="62"/>
        <v>84960</v>
      </c>
      <c r="N83" s="125">
        <f t="shared" si="58"/>
        <v>1019520</v>
      </c>
      <c r="P83" s="125">
        <f t="shared" si="56"/>
        <v>795225.59999999998</v>
      </c>
    </row>
    <row r="84" spans="1:16">
      <c r="A84">
        <v>2018</v>
      </c>
      <c r="B84" s="125">
        <f t="shared" si="62"/>
        <v>84960</v>
      </c>
      <c r="C84" s="125">
        <f t="shared" si="62"/>
        <v>84960</v>
      </c>
      <c r="D84" s="125">
        <f t="shared" si="62"/>
        <v>84960</v>
      </c>
      <c r="E84" s="125">
        <f t="shared" si="62"/>
        <v>84960</v>
      </c>
      <c r="F84" s="125">
        <f t="shared" si="62"/>
        <v>84960</v>
      </c>
      <c r="G84" s="125">
        <f t="shared" si="62"/>
        <v>84960</v>
      </c>
      <c r="H84" s="125">
        <f t="shared" si="62"/>
        <v>84960</v>
      </c>
      <c r="I84" s="125"/>
      <c r="J84" s="125"/>
      <c r="K84" s="125"/>
      <c r="L84" s="125"/>
      <c r="M84" s="125"/>
      <c r="N84" s="126">
        <f t="shared" si="58"/>
        <v>594720</v>
      </c>
      <c r="P84" s="126">
        <f t="shared" si="56"/>
        <v>463881.60000000003</v>
      </c>
    </row>
    <row r="85" spans="1:16"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>
        <f>SUM(N74:N84)</f>
        <v>7095600</v>
      </c>
      <c r="P85" s="125">
        <f>SUM(P74:P84)</f>
        <v>5534567.9999999991</v>
      </c>
    </row>
    <row r="86" spans="1:16"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</row>
    <row r="87" spans="1:16">
      <c r="A87" s="127" t="s">
        <v>117</v>
      </c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</row>
    <row r="88" spans="1:16">
      <c r="A88" s="92"/>
      <c r="B88" s="127" t="s">
        <v>115</v>
      </c>
      <c r="C88" s="127" t="s">
        <v>118</v>
      </c>
      <c r="D88" s="127"/>
      <c r="E88" s="92"/>
      <c r="F88" s="92"/>
      <c r="G88" s="92"/>
      <c r="H88" s="92"/>
      <c r="I88" s="92"/>
      <c r="J88" s="92"/>
      <c r="K88" s="92"/>
      <c r="L88" s="92"/>
      <c r="M88" s="92"/>
      <c r="N88" s="92"/>
    </row>
    <row r="89" spans="1:16">
      <c r="A89" s="92"/>
      <c r="B89" s="139" t="s">
        <v>99</v>
      </c>
      <c r="C89" s="139" t="s">
        <v>100</v>
      </c>
      <c r="D89" s="139" t="s">
        <v>101</v>
      </c>
      <c r="E89" s="139" t="s">
        <v>102</v>
      </c>
      <c r="F89" s="139" t="s">
        <v>103</v>
      </c>
      <c r="G89" s="139" t="s">
        <v>104</v>
      </c>
      <c r="H89" s="139" t="s">
        <v>105</v>
      </c>
      <c r="I89" s="139" t="s">
        <v>106</v>
      </c>
      <c r="J89" s="139" t="s">
        <v>107</v>
      </c>
      <c r="K89" s="139" t="s">
        <v>108</v>
      </c>
      <c r="L89" s="139" t="s">
        <v>109</v>
      </c>
      <c r="M89" s="130" t="s">
        <v>110</v>
      </c>
      <c r="N89" s="130" t="s">
        <v>15</v>
      </c>
      <c r="P89" s="122">
        <v>0.78</v>
      </c>
    </row>
    <row r="90" spans="1:16">
      <c r="A90" s="92" t="s">
        <v>20</v>
      </c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</row>
    <row r="91" spans="1:16">
      <c r="A91" s="92">
        <v>2008</v>
      </c>
      <c r="B91" s="129"/>
      <c r="C91" s="129"/>
      <c r="D91" s="129"/>
      <c r="E91" s="129"/>
      <c r="F91" s="129"/>
      <c r="G91" s="129"/>
      <c r="H91" s="129"/>
      <c r="I91" s="129">
        <f>62*212.55</f>
        <v>13178.1</v>
      </c>
      <c r="J91" s="129">
        <f t="shared" ref="J91:M93" si="63">62*212.55</f>
        <v>13178.1</v>
      </c>
      <c r="K91" s="129">
        <f t="shared" si="63"/>
        <v>13178.1</v>
      </c>
      <c r="L91" s="129">
        <f t="shared" si="63"/>
        <v>13178.1</v>
      </c>
      <c r="M91" s="129">
        <f t="shared" si="63"/>
        <v>13178.1</v>
      </c>
      <c r="N91" s="129">
        <f>SUM(B91:M91)</f>
        <v>65890.5</v>
      </c>
      <c r="P91" s="125">
        <f>SUM(N91)*$P$89</f>
        <v>51394.590000000004</v>
      </c>
    </row>
    <row r="92" spans="1:16">
      <c r="A92" s="92">
        <v>2009</v>
      </c>
      <c r="B92" s="129">
        <f>62*212.55</f>
        <v>13178.1</v>
      </c>
      <c r="C92" s="129">
        <f t="shared" ref="C92:I93" si="64">62*212.55</f>
        <v>13178.1</v>
      </c>
      <c r="D92" s="129">
        <f t="shared" si="64"/>
        <v>13178.1</v>
      </c>
      <c r="E92" s="129">
        <f t="shared" si="64"/>
        <v>13178.1</v>
      </c>
      <c r="F92" s="129">
        <f t="shared" si="64"/>
        <v>13178.1</v>
      </c>
      <c r="G92" s="129">
        <f t="shared" si="64"/>
        <v>13178.1</v>
      </c>
      <c r="H92" s="129">
        <f t="shared" si="64"/>
        <v>13178.1</v>
      </c>
      <c r="I92" s="129">
        <f t="shared" si="64"/>
        <v>13178.1</v>
      </c>
      <c r="J92" s="129">
        <f t="shared" si="63"/>
        <v>13178.1</v>
      </c>
      <c r="K92" s="129">
        <f t="shared" si="63"/>
        <v>13178.1</v>
      </c>
      <c r="L92" s="129">
        <f t="shared" si="63"/>
        <v>13178.1</v>
      </c>
      <c r="M92" s="129">
        <f t="shared" si="63"/>
        <v>13178.1</v>
      </c>
      <c r="N92" s="129">
        <f t="shared" ref="N92:N101" si="65">SUM(B92:M92)</f>
        <v>158137.20000000004</v>
      </c>
      <c r="P92" s="125">
        <f t="shared" ref="P92:P101" si="66">SUM(N92)*$P$89</f>
        <v>123347.01600000003</v>
      </c>
    </row>
    <row r="93" spans="1:16">
      <c r="A93" s="92">
        <v>2010</v>
      </c>
      <c r="B93" s="129">
        <f>62*212.55</f>
        <v>13178.1</v>
      </c>
      <c r="C93" s="129">
        <f t="shared" si="64"/>
        <v>13178.1</v>
      </c>
      <c r="D93" s="129">
        <f t="shared" si="64"/>
        <v>13178.1</v>
      </c>
      <c r="E93" s="129">
        <f t="shared" si="64"/>
        <v>13178.1</v>
      </c>
      <c r="F93" s="129">
        <f t="shared" si="64"/>
        <v>13178.1</v>
      </c>
      <c r="G93" s="129">
        <f t="shared" si="64"/>
        <v>13178.1</v>
      </c>
      <c r="H93" s="129">
        <f t="shared" si="64"/>
        <v>13178.1</v>
      </c>
      <c r="I93" s="129">
        <f t="shared" si="64"/>
        <v>13178.1</v>
      </c>
      <c r="J93" s="129">
        <f t="shared" si="63"/>
        <v>13178.1</v>
      </c>
      <c r="K93" s="129">
        <f t="shared" si="63"/>
        <v>13178.1</v>
      </c>
      <c r="L93" s="129">
        <f t="shared" si="63"/>
        <v>13178.1</v>
      </c>
      <c r="M93" s="129">
        <f t="shared" si="63"/>
        <v>13178.1</v>
      </c>
      <c r="N93" s="129">
        <f t="shared" si="65"/>
        <v>158137.20000000004</v>
      </c>
      <c r="P93" s="125">
        <f t="shared" si="66"/>
        <v>123347.01600000003</v>
      </c>
    </row>
    <row r="94" spans="1:16">
      <c r="A94" s="92">
        <v>2011</v>
      </c>
      <c r="B94" s="129">
        <f>62*220</f>
        <v>13640</v>
      </c>
      <c r="C94" s="129">
        <f t="shared" ref="C94:M97" si="67">62*220</f>
        <v>13640</v>
      </c>
      <c r="D94" s="129">
        <f t="shared" si="67"/>
        <v>13640</v>
      </c>
      <c r="E94" s="129">
        <f t="shared" si="67"/>
        <v>13640</v>
      </c>
      <c r="F94" s="129">
        <f t="shared" si="67"/>
        <v>13640</v>
      </c>
      <c r="G94" s="129">
        <f t="shared" si="67"/>
        <v>13640</v>
      </c>
      <c r="H94" s="129">
        <f t="shared" si="67"/>
        <v>13640</v>
      </c>
      <c r="I94" s="129">
        <f t="shared" si="67"/>
        <v>13640</v>
      </c>
      <c r="J94" s="129">
        <f t="shared" si="67"/>
        <v>13640</v>
      </c>
      <c r="K94" s="129">
        <f t="shared" si="67"/>
        <v>13640</v>
      </c>
      <c r="L94" s="129">
        <f t="shared" si="67"/>
        <v>13640</v>
      </c>
      <c r="M94" s="129">
        <f t="shared" si="67"/>
        <v>13640</v>
      </c>
      <c r="N94" s="129">
        <f t="shared" si="65"/>
        <v>163680</v>
      </c>
      <c r="P94" s="125">
        <f t="shared" si="66"/>
        <v>127670.40000000001</v>
      </c>
    </row>
    <row r="95" spans="1:16">
      <c r="A95" s="92">
        <v>2012</v>
      </c>
      <c r="B95" s="129">
        <f>62*220</f>
        <v>13640</v>
      </c>
      <c r="C95" s="129">
        <f t="shared" si="67"/>
        <v>13640</v>
      </c>
      <c r="D95" s="129">
        <f t="shared" si="67"/>
        <v>13640</v>
      </c>
      <c r="E95" s="129">
        <f t="shared" si="67"/>
        <v>13640</v>
      </c>
      <c r="F95" s="129">
        <f t="shared" si="67"/>
        <v>13640</v>
      </c>
      <c r="G95" s="129">
        <f t="shared" si="67"/>
        <v>13640</v>
      </c>
      <c r="H95" s="129">
        <f t="shared" si="67"/>
        <v>13640</v>
      </c>
      <c r="I95" s="129">
        <f t="shared" si="67"/>
        <v>13640</v>
      </c>
      <c r="J95" s="129">
        <f t="shared" si="67"/>
        <v>13640</v>
      </c>
      <c r="K95" s="129">
        <f t="shared" si="67"/>
        <v>13640</v>
      </c>
      <c r="L95" s="129">
        <f t="shared" si="67"/>
        <v>13640</v>
      </c>
      <c r="M95" s="129">
        <f t="shared" si="67"/>
        <v>13640</v>
      </c>
      <c r="N95" s="129">
        <f t="shared" si="65"/>
        <v>163680</v>
      </c>
      <c r="P95" s="125">
        <f t="shared" si="66"/>
        <v>127670.40000000001</v>
      </c>
    </row>
    <row r="96" spans="1:16">
      <c r="A96" s="92">
        <v>2013</v>
      </c>
      <c r="B96" s="129">
        <f>62*220</f>
        <v>13640</v>
      </c>
      <c r="C96" s="129">
        <f t="shared" si="67"/>
        <v>13640</v>
      </c>
      <c r="D96" s="129">
        <f t="shared" si="67"/>
        <v>13640</v>
      </c>
      <c r="E96" s="129">
        <f t="shared" si="67"/>
        <v>13640</v>
      </c>
      <c r="F96" s="129">
        <f t="shared" si="67"/>
        <v>13640</v>
      </c>
      <c r="G96" s="129">
        <f t="shared" si="67"/>
        <v>13640</v>
      </c>
      <c r="H96" s="129">
        <f t="shared" si="67"/>
        <v>13640</v>
      </c>
      <c r="I96" s="129">
        <f t="shared" si="67"/>
        <v>13640</v>
      </c>
      <c r="J96" s="129">
        <f t="shared" si="67"/>
        <v>13640</v>
      </c>
      <c r="K96" s="129">
        <f t="shared" si="67"/>
        <v>13640</v>
      </c>
      <c r="L96" s="129">
        <f t="shared" si="67"/>
        <v>13640</v>
      </c>
      <c r="M96" s="129">
        <f t="shared" si="67"/>
        <v>13640</v>
      </c>
      <c r="N96" s="129">
        <f t="shared" si="65"/>
        <v>163680</v>
      </c>
      <c r="P96" s="125">
        <f t="shared" si="66"/>
        <v>127670.40000000001</v>
      </c>
    </row>
    <row r="97" spans="1:16">
      <c r="A97" s="92">
        <v>2014</v>
      </c>
      <c r="B97" s="129">
        <f>62*220</f>
        <v>13640</v>
      </c>
      <c r="C97" s="129">
        <f t="shared" si="67"/>
        <v>13640</v>
      </c>
      <c r="D97" s="129">
        <f t="shared" si="67"/>
        <v>13640</v>
      </c>
      <c r="E97" s="129">
        <f t="shared" si="67"/>
        <v>13640</v>
      </c>
      <c r="F97" s="129">
        <f t="shared" si="67"/>
        <v>13640</v>
      </c>
      <c r="G97" s="129">
        <f t="shared" si="67"/>
        <v>13640</v>
      </c>
      <c r="H97" s="129">
        <f t="shared" si="67"/>
        <v>13640</v>
      </c>
      <c r="I97" s="129">
        <f>62*216</f>
        <v>13392</v>
      </c>
      <c r="J97" s="129">
        <f>62*216</f>
        <v>13392</v>
      </c>
      <c r="K97" s="129">
        <f>62*216</f>
        <v>13392</v>
      </c>
      <c r="L97" s="129">
        <f>62*216</f>
        <v>13392</v>
      </c>
      <c r="M97" s="129">
        <f>62*216</f>
        <v>13392</v>
      </c>
      <c r="N97" s="129">
        <f t="shared" si="65"/>
        <v>162440</v>
      </c>
      <c r="P97" s="125">
        <f t="shared" si="66"/>
        <v>126703.2</v>
      </c>
    </row>
    <row r="98" spans="1:16">
      <c r="A98" s="92">
        <v>2015</v>
      </c>
      <c r="B98" s="129">
        <f>62*231</f>
        <v>14322</v>
      </c>
      <c r="C98" s="129">
        <f t="shared" ref="C98:H98" si="68">62*210</f>
        <v>13020</v>
      </c>
      <c r="D98" s="129">
        <f t="shared" si="68"/>
        <v>13020</v>
      </c>
      <c r="E98" s="129">
        <f t="shared" si="68"/>
        <v>13020</v>
      </c>
      <c r="F98" s="129">
        <f t="shared" si="68"/>
        <v>13020</v>
      </c>
      <c r="G98" s="129">
        <f t="shared" si="68"/>
        <v>13020</v>
      </c>
      <c r="H98" s="129">
        <f t="shared" si="68"/>
        <v>13020</v>
      </c>
      <c r="I98" s="129">
        <f>62*231</f>
        <v>14322</v>
      </c>
      <c r="J98" s="129">
        <f>62*231</f>
        <v>14322</v>
      </c>
      <c r="K98" s="129">
        <f>62*231</f>
        <v>14322</v>
      </c>
      <c r="L98" s="129">
        <f>62*231</f>
        <v>14322</v>
      </c>
      <c r="M98" s="129">
        <f>62*231</f>
        <v>14322</v>
      </c>
      <c r="N98" s="129">
        <f t="shared" si="65"/>
        <v>164052</v>
      </c>
      <c r="P98" s="125">
        <f t="shared" si="66"/>
        <v>127960.56</v>
      </c>
    </row>
    <row r="99" spans="1:16">
      <c r="A99" s="92">
        <v>2016</v>
      </c>
      <c r="B99" s="129">
        <f>62*231</f>
        <v>14322</v>
      </c>
      <c r="C99" s="129">
        <f t="shared" ref="C99:H99" si="69">62*231</f>
        <v>14322</v>
      </c>
      <c r="D99" s="129">
        <f t="shared" si="69"/>
        <v>14322</v>
      </c>
      <c r="E99" s="129">
        <f t="shared" si="69"/>
        <v>14322</v>
      </c>
      <c r="F99" s="129">
        <f t="shared" si="69"/>
        <v>14322</v>
      </c>
      <c r="G99" s="129">
        <f t="shared" si="69"/>
        <v>14322</v>
      </c>
      <c r="H99" s="129">
        <f t="shared" si="69"/>
        <v>14322</v>
      </c>
      <c r="I99" s="129">
        <f>62*237</f>
        <v>14694</v>
      </c>
      <c r="J99" s="129">
        <f>62*237</f>
        <v>14694</v>
      </c>
      <c r="K99" s="129">
        <f>62*237</f>
        <v>14694</v>
      </c>
      <c r="L99" s="129">
        <f>62*237</f>
        <v>14694</v>
      </c>
      <c r="M99" s="129">
        <f>62*237</f>
        <v>14694</v>
      </c>
      <c r="N99" s="129">
        <f t="shared" si="65"/>
        <v>173724</v>
      </c>
      <c r="O99" s="125">
        <f>SUM(N97:N101)</f>
        <v>763778</v>
      </c>
      <c r="P99" s="125">
        <f t="shared" si="66"/>
        <v>135504.72</v>
      </c>
    </row>
    <row r="100" spans="1:16">
      <c r="A100" s="92">
        <v>2017</v>
      </c>
      <c r="B100" s="129">
        <v>13392</v>
      </c>
      <c r="C100" s="129">
        <v>13392</v>
      </c>
      <c r="D100" s="129">
        <v>13392</v>
      </c>
      <c r="E100" s="129">
        <v>13392</v>
      </c>
      <c r="F100" s="129">
        <v>13392</v>
      </c>
      <c r="G100" s="129">
        <v>13392</v>
      </c>
      <c r="H100" s="129">
        <v>13392</v>
      </c>
      <c r="I100" s="129">
        <v>13392</v>
      </c>
      <c r="J100" s="129">
        <v>13392</v>
      </c>
      <c r="K100" s="129">
        <v>13392</v>
      </c>
      <c r="L100" s="129">
        <v>13392</v>
      </c>
      <c r="M100" s="129">
        <v>13392</v>
      </c>
      <c r="N100" s="129">
        <f t="shared" si="65"/>
        <v>160704</v>
      </c>
      <c r="P100" s="125">
        <f t="shared" si="66"/>
        <v>125349.12000000001</v>
      </c>
    </row>
    <row r="101" spans="1:16">
      <c r="A101" s="92">
        <v>2018</v>
      </c>
      <c r="B101" s="129">
        <f>62*237</f>
        <v>14694</v>
      </c>
      <c r="C101" s="129">
        <f t="shared" ref="C101:H101" si="70">62*237</f>
        <v>14694</v>
      </c>
      <c r="D101" s="129">
        <f t="shared" si="70"/>
        <v>14694</v>
      </c>
      <c r="E101" s="129">
        <f t="shared" si="70"/>
        <v>14694</v>
      </c>
      <c r="F101" s="129">
        <f t="shared" si="70"/>
        <v>14694</v>
      </c>
      <c r="G101" s="129">
        <f t="shared" si="70"/>
        <v>14694</v>
      </c>
      <c r="H101" s="129">
        <f t="shared" si="70"/>
        <v>14694</v>
      </c>
      <c r="I101" s="129"/>
      <c r="J101" s="129"/>
      <c r="K101" s="129"/>
      <c r="L101" s="129"/>
      <c r="M101" s="129"/>
      <c r="N101" s="131">
        <f t="shared" si="65"/>
        <v>102858</v>
      </c>
      <c r="P101" s="126">
        <f t="shared" si="66"/>
        <v>80229.240000000005</v>
      </c>
    </row>
    <row r="102" spans="1:16">
      <c r="A102" s="92"/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129">
        <f>SUM(N91:N101)</f>
        <v>1636982.9000000001</v>
      </c>
      <c r="P102" s="125">
        <f>SUM(P91:P101)</f>
        <v>1276846.6620000002</v>
      </c>
    </row>
    <row r="103" spans="1:16">
      <c r="A103" s="127" t="s">
        <v>117</v>
      </c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</row>
    <row r="104" spans="1:16">
      <c r="A104" s="127" t="s">
        <v>119</v>
      </c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</row>
    <row r="105" spans="1:16">
      <c r="A105" s="127" t="s">
        <v>120</v>
      </c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</row>
    <row r="106" spans="1:16">
      <c r="A106" s="92">
        <v>2009</v>
      </c>
      <c r="B106" s="129">
        <v>9824</v>
      </c>
      <c r="C106" s="129">
        <v>9824</v>
      </c>
      <c r="D106" s="129">
        <v>9824</v>
      </c>
      <c r="E106" s="129">
        <v>9824</v>
      </c>
      <c r="F106" s="129">
        <v>9824</v>
      </c>
      <c r="G106" s="129">
        <v>9824</v>
      </c>
      <c r="H106" s="129">
        <v>9824</v>
      </c>
      <c r="I106" s="129">
        <v>9824</v>
      </c>
      <c r="J106" s="129">
        <v>9824</v>
      </c>
      <c r="K106" s="129">
        <v>9824</v>
      </c>
      <c r="L106" s="129">
        <v>9824</v>
      </c>
      <c r="M106" s="129">
        <v>9824</v>
      </c>
      <c r="N106" s="129">
        <f>SUM(B106:M106)</f>
        <v>117888</v>
      </c>
    </row>
    <row r="107" spans="1:16">
      <c r="A107" s="92">
        <v>2010</v>
      </c>
      <c r="B107" s="129">
        <v>9824</v>
      </c>
      <c r="C107" s="129">
        <v>9824</v>
      </c>
      <c r="D107" s="129">
        <v>9824</v>
      </c>
      <c r="E107" s="129">
        <v>9824</v>
      </c>
      <c r="F107" s="129">
        <v>9824</v>
      </c>
      <c r="G107" s="129">
        <v>9824</v>
      </c>
      <c r="H107" s="129">
        <v>9824</v>
      </c>
      <c r="I107" s="129">
        <v>9824</v>
      </c>
      <c r="J107" s="129">
        <v>9824</v>
      </c>
      <c r="K107" s="129">
        <v>9824</v>
      </c>
      <c r="L107" s="129">
        <v>9824</v>
      </c>
      <c r="M107" s="129">
        <v>9824</v>
      </c>
      <c r="N107" s="129">
        <f t="shared" ref="N107:N115" si="71">SUM(B107:M107)</f>
        <v>117888</v>
      </c>
    </row>
    <row r="108" spans="1:16">
      <c r="A108" s="92">
        <v>2011</v>
      </c>
      <c r="B108" s="129">
        <v>9824</v>
      </c>
      <c r="C108" s="129">
        <v>9824</v>
      </c>
      <c r="D108" s="129">
        <v>9824</v>
      </c>
      <c r="E108" s="129">
        <v>9824</v>
      </c>
      <c r="F108" s="129">
        <v>9824</v>
      </c>
      <c r="G108" s="129">
        <v>9824</v>
      </c>
      <c r="H108" s="129">
        <v>9824</v>
      </c>
      <c r="I108" s="129">
        <v>9824</v>
      </c>
      <c r="J108" s="129">
        <v>9824</v>
      </c>
      <c r="K108" s="129">
        <v>9824</v>
      </c>
      <c r="L108" s="129">
        <v>9824</v>
      </c>
      <c r="M108" s="129">
        <v>9824</v>
      </c>
      <c r="N108" s="129">
        <f t="shared" si="71"/>
        <v>117888</v>
      </c>
    </row>
    <row r="109" spans="1:16">
      <c r="A109" s="92">
        <v>2012</v>
      </c>
      <c r="B109" s="129">
        <v>9824</v>
      </c>
      <c r="C109" s="129">
        <v>9824</v>
      </c>
      <c r="D109" s="129">
        <v>9824</v>
      </c>
      <c r="E109" s="129">
        <v>9824</v>
      </c>
      <c r="F109" s="129">
        <v>9824</v>
      </c>
      <c r="G109" s="129">
        <v>9824</v>
      </c>
      <c r="H109" s="129">
        <v>9824</v>
      </c>
      <c r="I109" s="129">
        <v>9824</v>
      </c>
      <c r="J109" s="129">
        <v>9824</v>
      </c>
      <c r="K109" s="129">
        <v>9824</v>
      </c>
      <c r="L109" s="129">
        <v>9824</v>
      </c>
      <c r="M109" s="129">
        <v>9824</v>
      </c>
      <c r="N109" s="129">
        <f t="shared" si="71"/>
        <v>117888</v>
      </c>
    </row>
    <row r="110" spans="1:16">
      <c r="A110" s="92">
        <v>2013</v>
      </c>
      <c r="B110" s="129">
        <v>9824</v>
      </c>
      <c r="C110" s="129">
        <v>9824</v>
      </c>
      <c r="D110" s="129">
        <v>9824</v>
      </c>
      <c r="E110" s="129">
        <v>9824</v>
      </c>
      <c r="F110" s="129">
        <v>9824</v>
      </c>
      <c r="G110" s="129">
        <v>9824</v>
      </c>
      <c r="H110" s="129">
        <v>9824</v>
      </c>
      <c r="I110" s="129">
        <v>9824</v>
      </c>
      <c r="J110" s="129">
        <v>9824</v>
      </c>
      <c r="K110" s="129">
        <v>9824</v>
      </c>
      <c r="L110" s="129">
        <v>9824</v>
      </c>
      <c r="M110" s="129">
        <v>9824</v>
      </c>
      <c r="N110" s="129">
        <f t="shared" si="71"/>
        <v>117888</v>
      </c>
    </row>
    <row r="111" spans="1:16">
      <c r="A111" s="92">
        <v>2014</v>
      </c>
      <c r="B111" s="129">
        <v>9824</v>
      </c>
      <c r="C111" s="129">
        <v>9824</v>
      </c>
      <c r="D111" s="129">
        <v>9824</v>
      </c>
      <c r="E111" s="129">
        <v>9824</v>
      </c>
      <c r="F111" s="129">
        <v>9824</v>
      </c>
      <c r="G111" s="129">
        <v>9824</v>
      </c>
      <c r="H111" s="129">
        <v>9824</v>
      </c>
      <c r="I111" s="129">
        <v>9824</v>
      </c>
      <c r="J111" s="129">
        <v>9824</v>
      </c>
      <c r="K111" s="129">
        <v>9824</v>
      </c>
      <c r="L111" s="129">
        <v>9824</v>
      </c>
      <c r="M111" s="129">
        <v>9824</v>
      </c>
      <c r="N111" s="129">
        <f t="shared" si="71"/>
        <v>117888</v>
      </c>
    </row>
    <row r="112" spans="1:16">
      <c r="A112" s="92">
        <v>2015</v>
      </c>
      <c r="B112" s="129">
        <v>9824</v>
      </c>
      <c r="C112" s="129">
        <v>9824</v>
      </c>
      <c r="D112" s="129">
        <v>9824</v>
      </c>
      <c r="E112" s="129">
        <v>9824</v>
      </c>
      <c r="F112" s="129">
        <v>9824</v>
      </c>
      <c r="G112" s="129">
        <v>9824</v>
      </c>
      <c r="H112" s="129">
        <v>9824</v>
      </c>
      <c r="I112" s="129">
        <v>9824</v>
      </c>
      <c r="J112" s="129">
        <v>9824</v>
      </c>
      <c r="K112" s="129">
        <v>9824</v>
      </c>
      <c r="L112" s="129">
        <v>9824</v>
      </c>
      <c r="M112" s="129">
        <v>9824</v>
      </c>
      <c r="N112" s="129">
        <f t="shared" si="71"/>
        <v>117888</v>
      </c>
    </row>
    <row r="113" spans="1:15">
      <c r="A113" s="92">
        <v>2016</v>
      </c>
      <c r="B113" s="129">
        <v>9824</v>
      </c>
      <c r="C113" s="129">
        <v>9824</v>
      </c>
      <c r="D113" s="129">
        <v>9824</v>
      </c>
      <c r="E113" s="129">
        <v>9824</v>
      </c>
      <c r="F113" s="129">
        <v>9824</v>
      </c>
      <c r="G113" s="129">
        <v>9824</v>
      </c>
      <c r="H113" s="129">
        <v>9824</v>
      </c>
      <c r="I113" s="129">
        <v>9824</v>
      </c>
      <c r="J113" s="129">
        <v>9824</v>
      </c>
      <c r="K113" s="129">
        <v>9824</v>
      </c>
      <c r="L113" s="129">
        <v>9824</v>
      </c>
      <c r="M113" s="129">
        <v>9824</v>
      </c>
      <c r="N113" s="129">
        <f t="shared" si="71"/>
        <v>117888</v>
      </c>
      <c r="O113" s="125">
        <f>SUM(N111:N115)</f>
        <v>540320</v>
      </c>
    </row>
    <row r="114" spans="1:15">
      <c r="A114" s="92">
        <v>2017</v>
      </c>
      <c r="B114" s="129">
        <v>9824</v>
      </c>
      <c r="C114" s="129">
        <v>9824</v>
      </c>
      <c r="D114" s="129">
        <v>9824</v>
      </c>
      <c r="E114" s="129">
        <v>9824</v>
      </c>
      <c r="F114" s="129">
        <v>9824</v>
      </c>
      <c r="G114" s="129">
        <v>9824</v>
      </c>
      <c r="H114" s="129">
        <v>9824</v>
      </c>
      <c r="I114" s="129">
        <v>9824</v>
      </c>
      <c r="J114" s="129">
        <v>9824</v>
      </c>
      <c r="K114" s="129">
        <v>9824</v>
      </c>
      <c r="L114" s="129">
        <v>9824</v>
      </c>
      <c r="M114" s="129">
        <v>9824</v>
      </c>
      <c r="N114" s="129">
        <f t="shared" si="71"/>
        <v>117888</v>
      </c>
    </row>
    <row r="115" spans="1:15">
      <c r="A115" s="92">
        <v>2018</v>
      </c>
      <c r="B115" s="129">
        <v>9824</v>
      </c>
      <c r="C115" s="129">
        <v>9824</v>
      </c>
      <c r="D115" s="129">
        <v>9824</v>
      </c>
      <c r="E115" s="129">
        <v>9824</v>
      </c>
      <c r="F115" s="129">
        <v>9824</v>
      </c>
      <c r="G115" s="129">
        <v>9824</v>
      </c>
      <c r="H115" s="129">
        <v>9824</v>
      </c>
      <c r="I115" s="129"/>
      <c r="J115" s="129"/>
      <c r="K115" s="129"/>
      <c r="L115" s="129"/>
      <c r="M115" s="129"/>
      <c r="N115" s="131">
        <f t="shared" si="71"/>
        <v>68768</v>
      </c>
    </row>
    <row r="116" spans="1:15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129">
        <f>SUM(N106:N115)</f>
        <v>1129760</v>
      </c>
    </row>
    <row r="117" spans="1:15">
      <c r="A117" s="127" t="s">
        <v>121</v>
      </c>
      <c r="B117" s="127"/>
      <c r="C117" s="127"/>
      <c r="D117" s="92"/>
      <c r="E117" s="92">
        <f>867532.5/115</f>
        <v>7543.760869565217</v>
      </c>
      <c r="F117" s="92"/>
      <c r="G117" s="92"/>
      <c r="H117" s="92"/>
      <c r="I117" s="92"/>
      <c r="J117" s="92"/>
      <c r="K117" s="92"/>
      <c r="L117" s="92"/>
      <c r="M117" s="92"/>
      <c r="N117" s="92"/>
    </row>
    <row r="118" spans="1:15">
      <c r="A118" s="127" t="s">
        <v>122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</row>
    <row r="119" spans="1:15">
      <c r="A119" s="92">
        <v>2009</v>
      </c>
      <c r="B119" s="129">
        <v>7543.76</v>
      </c>
      <c r="C119" s="129">
        <v>7543.76</v>
      </c>
      <c r="D119" s="129">
        <v>7543.76</v>
      </c>
      <c r="E119" s="129">
        <v>7543.76</v>
      </c>
      <c r="F119" s="129">
        <v>7543.76</v>
      </c>
      <c r="G119" s="129">
        <v>7543.76</v>
      </c>
      <c r="H119" s="129">
        <v>7543.76</v>
      </c>
      <c r="I119" s="129">
        <v>7543.76</v>
      </c>
      <c r="J119" s="129">
        <v>7543.76</v>
      </c>
      <c r="K119" s="129">
        <v>7543.76</v>
      </c>
      <c r="L119" s="129">
        <v>7543.76</v>
      </c>
      <c r="M119" s="129">
        <v>7543.76</v>
      </c>
      <c r="N119" s="129">
        <f>SUM(B119:M119)</f>
        <v>90525.119999999995</v>
      </c>
    </row>
    <row r="120" spans="1:15">
      <c r="A120" s="92">
        <v>2010</v>
      </c>
      <c r="B120" s="129">
        <v>7543.76</v>
      </c>
      <c r="C120" s="129">
        <v>7543.76</v>
      </c>
      <c r="D120" s="129">
        <v>7543.76</v>
      </c>
      <c r="E120" s="129">
        <v>7543.76</v>
      </c>
      <c r="F120" s="129">
        <v>7543.76</v>
      </c>
      <c r="G120" s="129">
        <v>7543.76</v>
      </c>
      <c r="H120" s="129">
        <v>7543.76</v>
      </c>
      <c r="I120" s="129">
        <v>7543.76</v>
      </c>
      <c r="J120" s="129">
        <v>7543.76</v>
      </c>
      <c r="K120" s="129">
        <v>7543.76</v>
      </c>
      <c r="L120" s="129">
        <v>7543.76</v>
      </c>
      <c r="M120" s="129">
        <v>7543.76</v>
      </c>
      <c r="N120" s="129">
        <f t="shared" ref="N120:N128" si="72">SUM(B120:M120)</f>
        <v>90525.119999999995</v>
      </c>
    </row>
    <row r="121" spans="1:15">
      <c r="A121" s="92">
        <v>2011</v>
      </c>
      <c r="B121" s="129">
        <v>7543.76</v>
      </c>
      <c r="C121" s="129">
        <v>7543.76</v>
      </c>
      <c r="D121" s="129">
        <v>7543.76</v>
      </c>
      <c r="E121" s="129">
        <v>7543.76</v>
      </c>
      <c r="F121" s="129">
        <v>7543.76</v>
      </c>
      <c r="G121" s="129">
        <v>7543.76</v>
      </c>
      <c r="H121" s="129">
        <v>7543.76</v>
      </c>
      <c r="I121" s="129">
        <v>7543.76</v>
      </c>
      <c r="J121" s="129">
        <v>7543.76</v>
      </c>
      <c r="K121" s="129">
        <v>7543.76</v>
      </c>
      <c r="L121" s="129">
        <v>7543.76</v>
      </c>
      <c r="M121" s="129">
        <v>7543.76</v>
      </c>
      <c r="N121" s="129">
        <f t="shared" si="72"/>
        <v>90525.119999999995</v>
      </c>
    </row>
    <row r="122" spans="1:15">
      <c r="A122" s="92">
        <v>2012</v>
      </c>
      <c r="B122" s="129">
        <v>7543.76</v>
      </c>
      <c r="C122" s="129">
        <v>7543.76</v>
      </c>
      <c r="D122" s="129">
        <v>7543.76</v>
      </c>
      <c r="E122" s="129">
        <v>7543.76</v>
      </c>
      <c r="F122" s="129">
        <v>7543.76</v>
      </c>
      <c r="G122" s="129">
        <v>7543.76</v>
      </c>
      <c r="H122" s="129">
        <v>7543.76</v>
      </c>
      <c r="I122" s="129">
        <v>7543.76</v>
      </c>
      <c r="J122" s="129">
        <v>7543.76</v>
      </c>
      <c r="K122" s="129">
        <v>7543.76</v>
      </c>
      <c r="L122" s="129">
        <v>7543.76</v>
      </c>
      <c r="M122" s="129">
        <v>7543.76</v>
      </c>
      <c r="N122" s="129">
        <f t="shared" si="72"/>
        <v>90525.119999999995</v>
      </c>
    </row>
    <row r="123" spans="1:15">
      <c r="A123" s="92">
        <v>2013</v>
      </c>
      <c r="B123" s="129">
        <v>7543.76</v>
      </c>
      <c r="C123" s="129">
        <v>7543.76</v>
      </c>
      <c r="D123" s="129">
        <v>7543.76</v>
      </c>
      <c r="E123" s="129">
        <v>7543.76</v>
      </c>
      <c r="F123" s="129">
        <v>7543.76</v>
      </c>
      <c r="G123" s="129">
        <v>7543.76</v>
      </c>
      <c r="H123" s="129">
        <v>7543.76</v>
      </c>
      <c r="I123" s="129">
        <v>7543.76</v>
      </c>
      <c r="J123" s="129">
        <v>7543.76</v>
      </c>
      <c r="K123" s="129">
        <v>7543.76</v>
      </c>
      <c r="L123" s="129">
        <v>7543.76</v>
      </c>
      <c r="M123" s="129">
        <v>7543.76</v>
      </c>
      <c r="N123" s="129">
        <f t="shared" si="72"/>
        <v>90525.119999999995</v>
      </c>
    </row>
    <row r="124" spans="1:15">
      <c r="A124" s="92">
        <v>2014</v>
      </c>
      <c r="B124" s="129">
        <v>7543.76</v>
      </c>
      <c r="C124" s="129">
        <v>7543.76</v>
      </c>
      <c r="D124" s="129">
        <v>7543.76</v>
      </c>
      <c r="E124" s="129">
        <v>7543.76</v>
      </c>
      <c r="F124" s="129">
        <v>7543.76</v>
      </c>
      <c r="G124" s="129">
        <v>7543.76</v>
      </c>
      <c r="H124" s="129">
        <v>7543.76</v>
      </c>
      <c r="I124" s="129">
        <v>7543.76</v>
      </c>
      <c r="J124" s="129">
        <v>7543.76</v>
      </c>
      <c r="K124" s="129">
        <v>7543.76</v>
      </c>
      <c r="L124" s="129">
        <v>7543.76</v>
      </c>
      <c r="M124" s="129">
        <v>7543.76</v>
      </c>
      <c r="N124" s="129">
        <f t="shared" si="72"/>
        <v>90525.119999999995</v>
      </c>
    </row>
    <row r="125" spans="1:15">
      <c r="A125" s="92">
        <v>2015</v>
      </c>
      <c r="B125" s="129">
        <v>7543.76</v>
      </c>
      <c r="C125" s="129">
        <v>7543.76</v>
      </c>
      <c r="D125" s="129">
        <v>7543.76</v>
      </c>
      <c r="E125" s="129">
        <v>7543.76</v>
      </c>
      <c r="F125" s="129">
        <v>7543.76</v>
      </c>
      <c r="G125" s="129">
        <v>7543.76</v>
      </c>
      <c r="H125" s="129">
        <v>7543.76</v>
      </c>
      <c r="I125" s="129">
        <v>7543.76</v>
      </c>
      <c r="J125" s="129">
        <v>7543.76</v>
      </c>
      <c r="K125" s="129">
        <v>7543.76</v>
      </c>
      <c r="L125" s="129">
        <v>7543.76</v>
      </c>
      <c r="M125" s="129">
        <v>7543.76</v>
      </c>
      <c r="N125" s="129">
        <f t="shared" si="72"/>
        <v>90525.119999999995</v>
      </c>
    </row>
    <row r="126" spans="1:15">
      <c r="A126" s="92">
        <v>2016</v>
      </c>
      <c r="B126" s="129">
        <v>7543.76</v>
      </c>
      <c r="C126" s="129">
        <v>7543.76</v>
      </c>
      <c r="D126" s="129">
        <v>7543.76</v>
      </c>
      <c r="E126" s="129">
        <v>7543.76</v>
      </c>
      <c r="F126" s="129">
        <v>7543.76</v>
      </c>
      <c r="G126" s="129">
        <v>7543.76</v>
      </c>
      <c r="H126" s="129">
        <v>7543.76</v>
      </c>
      <c r="I126" s="129">
        <v>7543.76</v>
      </c>
      <c r="J126" s="129">
        <v>7543.76</v>
      </c>
      <c r="K126" s="129">
        <v>7543.76</v>
      </c>
      <c r="L126" s="129">
        <v>7543.76</v>
      </c>
      <c r="M126" s="129">
        <v>7543.76</v>
      </c>
      <c r="N126" s="129">
        <f t="shared" si="72"/>
        <v>90525.119999999995</v>
      </c>
    </row>
    <row r="127" spans="1:15">
      <c r="A127" s="92">
        <v>2017</v>
      </c>
      <c r="B127" s="129">
        <v>7543.76</v>
      </c>
      <c r="C127" s="129">
        <v>7543.76</v>
      </c>
      <c r="D127" s="129">
        <v>7543.76</v>
      </c>
      <c r="E127" s="129">
        <v>7543.76</v>
      </c>
      <c r="F127" s="129">
        <v>7543.76</v>
      </c>
      <c r="G127" s="129">
        <v>7543.76</v>
      </c>
      <c r="H127" s="129">
        <v>7543.76</v>
      </c>
      <c r="I127" s="129">
        <v>7543.76</v>
      </c>
      <c r="J127" s="129">
        <v>7543.76</v>
      </c>
      <c r="K127" s="129">
        <v>7543.76</v>
      </c>
      <c r="L127" s="129">
        <v>7543.76</v>
      </c>
      <c r="M127" s="129">
        <v>7543.76</v>
      </c>
      <c r="N127" s="129">
        <f t="shared" si="72"/>
        <v>90525.119999999995</v>
      </c>
    </row>
    <row r="128" spans="1:15">
      <c r="A128" s="92">
        <v>2018</v>
      </c>
      <c r="B128" s="129">
        <v>7543.76</v>
      </c>
      <c r="C128" s="129">
        <v>7543.76</v>
      </c>
      <c r="D128" s="129">
        <v>7543.76</v>
      </c>
      <c r="E128" s="129">
        <v>7543.76</v>
      </c>
      <c r="F128" s="129">
        <v>7543.76</v>
      </c>
      <c r="G128" s="129">
        <v>7543.76</v>
      </c>
      <c r="H128" s="129">
        <v>7543.76</v>
      </c>
      <c r="I128" s="129"/>
      <c r="J128" s="129"/>
      <c r="K128" s="129"/>
      <c r="L128" s="129"/>
      <c r="M128" s="129"/>
      <c r="N128" s="131">
        <f t="shared" si="72"/>
        <v>52806.320000000007</v>
      </c>
    </row>
    <row r="129" spans="1:14">
      <c r="A129" s="92"/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129">
        <f>SUM(N119:N128)</f>
        <v>867532.39999999991</v>
      </c>
    </row>
    <row r="130" spans="1:14">
      <c r="A130" s="92"/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129"/>
    </row>
    <row r="131" spans="1:14">
      <c r="A131" s="127" t="s">
        <v>123</v>
      </c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</row>
    <row r="132" spans="1:14">
      <c r="A132" s="92">
        <v>2008</v>
      </c>
      <c r="B132" s="92"/>
      <c r="C132" s="92"/>
      <c r="D132" s="92"/>
      <c r="E132" s="92"/>
      <c r="F132" s="92"/>
      <c r="G132" s="92"/>
      <c r="H132" s="92"/>
      <c r="I132" s="129">
        <v>3776.67</v>
      </c>
      <c r="J132" s="129">
        <v>3776.67</v>
      </c>
      <c r="K132" s="129">
        <v>3776.67</v>
      </c>
      <c r="L132" s="129">
        <v>3776.67</v>
      </c>
      <c r="M132" s="129">
        <v>3776.67</v>
      </c>
      <c r="N132" s="129">
        <f>SUM(B132:M132)</f>
        <v>18883.349999999999</v>
      </c>
    </row>
    <row r="133" spans="1:14">
      <c r="A133" s="92">
        <v>2009</v>
      </c>
      <c r="B133" s="129">
        <v>3776.67</v>
      </c>
      <c r="C133" s="129">
        <v>3776.67</v>
      </c>
      <c r="D133" s="129">
        <v>3776.67</v>
      </c>
      <c r="E133" s="129">
        <v>3776.67</v>
      </c>
      <c r="F133" s="129">
        <v>3776.67</v>
      </c>
      <c r="G133" s="129">
        <v>3776.67</v>
      </c>
      <c r="H133" s="129">
        <v>3776.67</v>
      </c>
      <c r="I133" s="129">
        <v>3776.67</v>
      </c>
      <c r="J133" s="129">
        <v>3776.67</v>
      </c>
      <c r="K133" s="129">
        <v>3776.67</v>
      </c>
      <c r="L133" s="129">
        <v>3776.67</v>
      </c>
      <c r="M133" s="129">
        <v>3776.67</v>
      </c>
      <c r="N133" s="129">
        <f>SUM(B133:M133)</f>
        <v>45320.039999999986</v>
      </c>
    </row>
    <row r="134" spans="1:14">
      <c r="A134" s="92">
        <v>2010</v>
      </c>
      <c r="B134" s="129">
        <v>3776.67</v>
      </c>
      <c r="C134" s="129">
        <v>3776.67</v>
      </c>
      <c r="D134" s="129">
        <v>3776.67</v>
      </c>
      <c r="E134" s="129">
        <v>3776.67</v>
      </c>
      <c r="F134" s="129">
        <v>3776.67</v>
      </c>
      <c r="G134" s="129">
        <v>3776.67</v>
      </c>
      <c r="H134" s="129">
        <v>3776.67</v>
      </c>
      <c r="I134" s="129">
        <v>3776.67</v>
      </c>
      <c r="J134" s="129">
        <v>3776.67</v>
      </c>
      <c r="K134" s="129">
        <v>3776.67</v>
      </c>
      <c r="L134" s="129">
        <v>3776.67</v>
      </c>
      <c r="M134" s="129">
        <v>3776.67</v>
      </c>
      <c r="N134" s="129">
        <f t="shared" ref="N134:N142" si="73">SUM(B134:M134)</f>
        <v>45320.039999999986</v>
      </c>
    </row>
    <row r="135" spans="1:14">
      <c r="A135" s="92">
        <v>2011</v>
      </c>
      <c r="B135" s="129">
        <v>3776.67</v>
      </c>
      <c r="C135" s="129">
        <v>3776.67</v>
      </c>
      <c r="D135" s="129">
        <v>3776.67</v>
      </c>
      <c r="E135" s="129">
        <v>3776.67</v>
      </c>
      <c r="F135" s="129">
        <v>3776.67</v>
      </c>
      <c r="G135" s="129">
        <v>3776.67</v>
      </c>
      <c r="H135" s="129">
        <v>3776.67</v>
      </c>
      <c r="I135" s="129">
        <v>3776.67</v>
      </c>
      <c r="J135" s="129">
        <v>3776.67</v>
      </c>
      <c r="K135" s="129">
        <v>3776.67</v>
      </c>
      <c r="L135" s="129">
        <v>3776.67</v>
      </c>
      <c r="M135" s="129">
        <v>3776.67</v>
      </c>
      <c r="N135" s="129">
        <f t="shared" si="73"/>
        <v>45320.039999999986</v>
      </c>
    </row>
    <row r="136" spans="1:14">
      <c r="A136" s="92">
        <v>2012</v>
      </c>
      <c r="B136" s="129">
        <v>3776.67</v>
      </c>
      <c r="C136" s="129">
        <v>3776.67</v>
      </c>
      <c r="D136" s="129">
        <v>3776.67</v>
      </c>
      <c r="E136" s="129">
        <v>3776.67</v>
      </c>
      <c r="F136" s="129">
        <v>3776.67</v>
      </c>
      <c r="G136" s="129">
        <v>3776.67</v>
      </c>
      <c r="H136" s="129">
        <v>3776.67</v>
      </c>
      <c r="I136" s="129">
        <v>3776.67</v>
      </c>
      <c r="J136" s="129">
        <v>3776.67</v>
      </c>
      <c r="K136" s="129">
        <v>3776.67</v>
      </c>
      <c r="L136" s="129">
        <v>3776.67</v>
      </c>
      <c r="M136" s="129">
        <v>3776.67</v>
      </c>
      <c r="N136" s="129">
        <f t="shared" si="73"/>
        <v>45320.039999999986</v>
      </c>
    </row>
    <row r="137" spans="1:14">
      <c r="A137" s="92">
        <v>2013</v>
      </c>
      <c r="B137" s="129">
        <v>3776.67</v>
      </c>
      <c r="C137" s="129">
        <v>3776.67</v>
      </c>
      <c r="D137" s="129">
        <v>3776.67</v>
      </c>
      <c r="E137" s="129">
        <v>3776.67</v>
      </c>
      <c r="F137" s="129">
        <v>3776.67</v>
      </c>
      <c r="G137" s="129">
        <v>3776.67</v>
      </c>
      <c r="H137" s="129">
        <v>3776.67</v>
      </c>
      <c r="I137" s="129">
        <v>3776.67</v>
      </c>
      <c r="J137" s="129">
        <v>3776.67</v>
      </c>
      <c r="K137" s="129">
        <v>3776.67</v>
      </c>
      <c r="L137" s="129">
        <v>3776.67</v>
      </c>
      <c r="M137" s="129">
        <v>3776.67</v>
      </c>
      <c r="N137" s="129">
        <f t="shared" si="73"/>
        <v>45320.039999999986</v>
      </c>
    </row>
    <row r="138" spans="1:14">
      <c r="A138" s="92">
        <v>2014</v>
      </c>
      <c r="B138" s="129">
        <v>3776.67</v>
      </c>
      <c r="C138" s="129">
        <v>3776.67</v>
      </c>
      <c r="D138" s="129">
        <v>3776.67</v>
      </c>
      <c r="E138" s="129">
        <v>3776.67</v>
      </c>
      <c r="F138" s="129">
        <v>3776.67</v>
      </c>
      <c r="G138" s="129">
        <v>3776.67</v>
      </c>
      <c r="H138" s="129">
        <v>3776.67</v>
      </c>
      <c r="I138" s="129">
        <v>3776.67</v>
      </c>
      <c r="J138" s="129">
        <v>3776.67</v>
      </c>
      <c r="K138" s="129">
        <v>3776.67</v>
      </c>
      <c r="L138" s="129">
        <v>3776.67</v>
      </c>
      <c r="M138" s="129">
        <v>3776.67</v>
      </c>
      <c r="N138" s="129">
        <f t="shared" si="73"/>
        <v>45320.039999999986</v>
      </c>
    </row>
    <row r="139" spans="1:14">
      <c r="A139" s="92">
        <v>2015</v>
      </c>
      <c r="B139" s="129">
        <v>3776.67</v>
      </c>
      <c r="C139" s="129">
        <v>3776.67</v>
      </c>
      <c r="D139" s="129">
        <v>3776.67</v>
      </c>
      <c r="E139" s="129">
        <v>3776.67</v>
      </c>
      <c r="F139" s="129">
        <v>3776.67</v>
      </c>
      <c r="G139" s="129">
        <v>3776.67</v>
      </c>
      <c r="H139" s="129">
        <v>3776.67</v>
      </c>
      <c r="I139" s="129">
        <v>3776.67</v>
      </c>
      <c r="J139" s="129">
        <v>3776.67</v>
      </c>
      <c r="K139" s="129">
        <v>3776.67</v>
      </c>
      <c r="L139" s="129">
        <v>3776.67</v>
      </c>
      <c r="M139" s="129">
        <v>3776.67</v>
      </c>
      <c r="N139" s="129">
        <f t="shared" si="73"/>
        <v>45320.039999999986</v>
      </c>
    </row>
    <row r="140" spans="1:14">
      <c r="A140" s="92">
        <v>2016</v>
      </c>
      <c r="B140" s="129">
        <v>3776.67</v>
      </c>
      <c r="C140" s="129">
        <v>3776.67</v>
      </c>
      <c r="D140" s="129">
        <v>3776.67</v>
      </c>
      <c r="E140" s="129">
        <v>3776.67</v>
      </c>
      <c r="F140" s="129">
        <v>3776.67</v>
      </c>
      <c r="G140" s="129">
        <v>3776.67</v>
      </c>
      <c r="H140" s="129">
        <v>3776.67</v>
      </c>
      <c r="I140" s="129">
        <v>3776.67</v>
      </c>
      <c r="J140" s="129">
        <v>3776.67</v>
      </c>
      <c r="K140" s="129">
        <v>3776.67</v>
      </c>
      <c r="L140" s="129">
        <v>3776.67</v>
      </c>
      <c r="M140" s="129">
        <v>3776.67</v>
      </c>
      <c r="N140" s="129">
        <f t="shared" si="73"/>
        <v>45320.039999999986</v>
      </c>
    </row>
    <row r="141" spans="1:14">
      <c r="A141" s="92">
        <v>2017</v>
      </c>
      <c r="B141" s="129">
        <v>3776.67</v>
      </c>
      <c r="C141" s="129">
        <v>3776.67</v>
      </c>
      <c r="D141" s="129">
        <v>3776.67</v>
      </c>
      <c r="E141" s="129">
        <v>3776.67</v>
      </c>
      <c r="F141" s="129">
        <v>3776.67</v>
      </c>
      <c r="G141" s="129">
        <v>3776.67</v>
      </c>
      <c r="H141" s="129">
        <v>3776.67</v>
      </c>
      <c r="I141" s="129">
        <v>3776.67</v>
      </c>
      <c r="J141" s="129">
        <v>3776.67</v>
      </c>
      <c r="K141" s="129">
        <v>3776.67</v>
      </c>
      <c r="L141" s="129">
        <v>3776.67</v>
      </c>
      <c r="M141" s="129">
        <v>3776.67</v>
      </c>
      <c r="N141" s="129">
        <f t="shared" si="73"/>
        <v>45320.039999999986</v>
      </c>
    </row>
    <row r="142" spans="1:14">
      <c r="A142" s="92">
        <v>2018</v>
      </c>
      <c r="B142" s="129">
        <v>3776.67</v>
      </c>
      <c r="C142" s="129">
        <v>3776.67</v>
      </c>
      <c r="D142" s="129">
        <v>3776.67</v>
      </c>
      <c r="E142" s="129">
        <v>3776.67</v>
      </c>
      <c r="F142" s="129">
        <v>3776.67</v>
      </c>
      <c r="G142" s="129">
        <v>3776.67</v>
      </c>
      <c r="H142" s="129">
        <v>3776.67</v>
      </c>
      <c r="I142" s="129">
        <v>3669.1</v>
      </c>
      <c r="J142" s="129"/>
      <c r="K142" s="129"/>
      <c r="L142" s="129"/>
      <c r="M142" s="129"/>
      <c r="N142" s="131">
        <f t="shared" si="73"/>
        <v>30105.789999999994</v>
      </c>
    </row>
    <row r="143" spans="1:14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140">
        <f>SUM(N132:N142)</f>
        <v>456869.49999999983</v>
      </c>
    </row>
  </sheetData>
  <customSheetViews>
    <customSheetView guid="{6DB0C51A-CF2E-4524-B123-6AE855E84E26}" state="hidden" topLeftCell="A47">
      <selection activeCell="O92" sqref="O92"/>
      <rowBreaks count="2" manualBreakCount="2">
        <brk id="36" max="16383" man="1"/>
        <brk id="85" max="16383" man="1"/>
      </rowBreaks>
      <pageMargins left="0" right="0" top="0.25" bottom="0.25" header="0.05" footer="0.05"/>
      <pageSetup scale="75" orientation="landscape" r:id="rId1"/>
    </customSheetView>
    <customSheetView guid="{D9FD7722-CADB-4741-856E-53C9C7AFA1D2}" state="hidden" topLeftCell="A47">
      <selection activeCell="O92" sqref="O92"/>
      <rowBreaks count="2" manualBreakCount="2">
        <brk id="36" max="16383" man="1"/>
        <brk id="85" max="16383" man="1"/>
      </rowBreaks>
      <pageMargins left="0" right="0" top="0.25" bottom="0.25" header="0.05" footer="0.05"/>
      <pageSetup scale="75" orientation="landscape" r:id="rId2"/>
    </customSheetView>
  </customSheetViews>
  <phoneticPr fontId="25" type="noConversion"/>
  <pageMargins left="0" right="0" top="0.25" bottom="0.25" header="0.05" footer="0.05"/>
  <pageSetup scale="75" orientation="landscape" r:id="rId3"/>
  <rowBreaks count="2" manualBreakCount="2">
    <brk id="36" max="16383" man="1"/>
    <brk id="85" max="16383" man="1"/>
  </rowBreaks>
  <drawing r:id="rId4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76"/>
  <sheetViews>
    <sheetView topLeftCell="A307" workbookViewId="0">
      <selection activeCell="M21" sqref="M21"/>
    </sheetView>
  </sheetViews>
  <sheetFormatPr defaultRowHeight="12.75"/>
  <cols>
    <col min="1" max="1" width="9.5703125" style="155" customWidth="1"/>
    <col min="2" max="2" width="20.7109375" style="155" customWidth="1"/>
    <col min="3" max="3" width="18.5703125" style="155" customWidth="1"/>
    <col min="4" max="4" width="12.7109375" style="155" customWidth="1"/>
    <col min="5" max="5" width="7" style="155" customWidth="1"/>
    <col min="6" max="16384" width="9.140625" style="155"/>
  </cols>
  <sheetData>
    <row r="1" spans="1:5">
      <c r="A1" s="154" t="s">
        <v>155</v>
      </c>
      <c r="B1" s="154" t="s">
        <v>156</v>
      </c>
      <c r="C1" s="154" t="s">
        <v>157</v>
      </c>
      <c r="D1" s="154" t="s">
        <v>158</v>
      </c>
      <c r="E1" s="154" t="s">
        <v>159</v>
      </c>
    </row>
    <row r="2" spans="1:5">
      <c r="A2" s="154" t="s">
        <v>160</v>
      </c>
      <c r="B2" s="154" t="s">
        <v>161</v>
      </c>
      <c r="C2" s="154" t="s">
        <v>162</v>
      </c>
      <c r="D2" s="154" t="s">
        <v>163</v>
      </c>
      <c r="E2" s="154">
        <v>1</v>
      </c>
    </row>
    <row r="3" spans="1:5">
      <c r="A3" s="154" t="s">
        <v>164</v>
      </c>
      <c r="B3" s="154" t="s">
        <v>165</v>
      </c>
      <c r="C3" s="154" t="s">
        <v>166</v>
      </c>
      <c r="D3" s="154" t="s">
        <v>167</v>
      </c>
      <c r="E3" s="154">
        <v>1</v>
      </c>
    </row>
    <row r="4" spans="1:5">
      <c r="A4" s="154" t="s">
        <v>168</v>
      </c>
      <c r="B4" s="154" t="s">
        <v>169</v>
      </c>
      <c r="C4" s="154" t="s">
        <v>170</v>
      </c>
      <c r="D4" s="154" t="s">
        <v>171</v>
      </c>
      <c r="E4" s="154">
        <v>1</v>
      </c>
    </row>
    <row r="5" spans="1:5">
      <c r="A5" s="154" t="s">
        <v>172</v>
      </c>
      <c r="B5" s="154" t="s">
        <v>173</v>
      </c>
      <c r="C5" s="154" t="s">
        <v>174</v>
      </c>
      <c r="D5" s="154" t="s">
        <v>175</v>
      </c>
      <c r="E5" s="154">
        <v>1</v>
      </c>
    </row>
    <row r="6" spans="1:5">
      <c r="A6" s="154" t="s">
        <v>176</v>
      </c>
      <c r="B6" s="154" t="s">
        <v>177</v>
      </c>
      <c r="C6" s="154" t="s">
        <v>178</v>
      </c>
      <c r="D6" s="154" t="s">
        <v>179</v>
      </c>
      <c r="E6" s="154">
        <v>1</v>
      </c>
    </row>
    <row r="7" spans="1:5">
      <c r="A7" s="154" t="s">
        <v>180</v>
      </c>
      <c r="B7" s="154" t="s">
        <v>181</v>
      </c>
      <c r="C7" s="154" t="s">
        <v>182</v>
      </c>
      <c r="D7" s="154" t="s">
        <v>183</v>
      </c>
      <c r="E7" s="154">
        <v>1</v>
      </c>
    </row>
    <row r="8" spans="1:5">
      <c r="A8" s="154" t="s">
        <v>184</v>
      </c>
      <c r="B8" s="154" t="s">
        <v>185</v>
      </c>
      <c r="C8" s="154" t="s">
        <v>186</v>
      </c>
      <c r="D8" s="154" t="s">
        <v>187</v>
      </c>
      <c r="E8" s="154">
        <v>1</v>
      </c>
    </row>
    <row r="9" spans="1:5">
      <c r="A9" s="154" t="s">
        <v>188</v>
      </c>
      <c r="B9" s="154" t="s">
        <v>189</v>
      </c>
      <c r="C9" s="154" t="s">
        <v>190</v>
      </c>
      <c r="D9" s="154" t="s">
        <v>191</v>
      </c>
      <c r="E9" s="154">
        <v>1</v>
      </c>
    </row>
    <row r="10" spans="1:5">
      <c r="A10" s="154" t="s">
        <v>192</v>
      </c>
      <c r="B10" s="154" t="s">
        <v>193</v>
      </c>
      <c r="C10" s="154" t="s">
        <v>194</v>
      </c>
      <c r="D10" s="154" t="s">
        <v>195</v>
      </c>
      <c r="E10" s="154">
        <v>6.4000000000000001E-2</v>
      </c>
    </row>
    <row r="11" spans="1:5">
      <c r="A11" s="154" t="s">
        <v>192</v>
      </c>
      <c r="B11" s="154" t="s">
        <v>193</v>
      </c>
      <c r="C11" s="154" t="s">
        <v>194</v>
      </c>
      <c r="D11" s="154" t="s">
        <v>196</v>
      </c>
      <c r="E11" s="154">
        <v>0.22500000000000001</v>
      </c>
    </row>
    <row r="12" spans="1:5">
      <c r="A12" s="154" t="s">
        <v>192</v>
      </c>
      <c r="B12" s="154" t="s">
        <v>193</v>
      </c>
      <c r="C12" s="154" t="s">
        <v>194</v>
      </c>
      <c r="D12" s="154" t="s">
        <v>197</v>
      </c>
      <c r="E12" s="154">
        <v>0.218</v>
      </c>
    </row>
    <row r="13" spans="1:5">
      <c r="A13" s="154" t="s">
        <v>192</v>
      </c>
      <c r="B13" s="154" t="s">
        <v>193</v>
      </c>
      <c r="C13" s="154" t="s">
        <v>194</v>
      </c>
      <c r="D13" s="154" t="s">
        <v>198</v>
      </c>
      <c r="E13" s="154">
        <v>2.4E-2</v>
      </c>
    </row>
    <row r="14" spans="1:5">
      <c r="A14" s="154" t="s">
        <v>192</v>
      </c>
      <c r="B14" s="154" t="s">
        <v>193</v>
      </c>
      <c r="C14" s="154" t="s">
        <v>194</v>
      </c>
      <c r="D14" s="154" t="s">
        <v>199</v>
      </c>
      <c r="E14" s="154">
        <v>0.21300000000000002</v>
      </c>
    </row>
    <row r="15" spans="1:5">
      <c r="A15" s="154" t="s">
        <v>192</v>
      </c>
      <c r="B15" s="154" t="s">
        <v>193</v>
      </c>
      <c r="C15" s="154" t="s">
        <v>194</v>
      </c>
      <c r="D15" s="154" t="s">
        <v>200</v>
      </c>
      <c r="E15" s="154">
        <v>0.18300000000000002</v>
      </c>
    </row>
    <row r="16" spans="1:5">
      <c r="A16" s="154" t="s">
        <v>192</v>
      </c>
      <c r="B16" s="154" t="s">
        <v>193</v>
      </c>
      <c r="C16" s="154" t="s">
        <v>194</v>
      </c>
      <c r="D16" s="154" t="s">
        <v>201</v>
      </c>
      <c r="E16" s="154">
        <v>4.4000000000000004E-2</v>
      </c>
    </row>
    <row r="17" spans="1:5">
      <c r="A17" s="154" t="s">
        <v>192</v>
      </c>
      <c r="B17" s="154" t="s">
        <v>193</v>
      </c>
      <c r="C17" s="154" t="s">
        <v>194</v>
      </c>
      <c r="D17" s="154" t="s">
        <v>202</v>
      </c>
      <c r="E17" s="154">
        <v>2.8999999999999998E-2</v>
      </c>
    </row>
    <row r="18" spans="1:5">
      <c r="A18" s="154" t="s">
        <v>203</v>
      </c>
      <c r="B18" s="154" t="s">
        <v>204</v>
      </c>
      <c r="C18" s="154" t="s">
        <v>205</v>
      </c>
      <c r="D18" s="154" t="s">
        <v>206</v>
      </c>
      <c r="E18" s="154">
        <v>1</v>
      </c>
    </row>
    <row r="19" spans="1:5">
      <c r="A19" s="154" t="s">
        <v>207</v>
      </c>
      <c r="B19" s="154" t="s">
        <v>208</v>
      </c>
      <c r="C19" s="154" t="s">
        <v>209</v>
      </c>
      <c r="D19" s="154" t="s">
        <v>210</v>
      </c>
      <c r="E19" s="154">
        <v>0.55000000000000004</v>
      </c>
    </row>
    <row r="20" spans="1:5">
      <c r="A20" s="154" t="s">
        <v>207</v>
      </c>
      <c r="B20" s="154" t="s">
        <v>208</v>
      </c>
      <c r="C20" s="154" t="s">
        <v>209</v>
      </c>
      <c r="D20" s="154" t="s">
        <v>211</v>
      </c>
      <c r="E20" s="154">
        <v>0.45</v>
      </c>
    </row>
    <row r="21" spans="1:5">
      <c r="A21" s="154" t="s">
        <v>212</v>
      </c>
      <c r="B21" s="154" t="s">
        <v>213</v>
      </c>
      <c r="C21" s="154" t="s">
        <v>214</v>
      </c>
      <c r="D21" s="154" t="s">
        <v>215</v>
      </c>
      <c r="E21" s="154">
        <v>0.1</v>
      </c>
    </row>
    <row r="22" spans="1:5">
      <c r="A22" s="154" t="s">
        <v>212</v>
      </c>
      <c r="B22" s="154" t="s">
        <v>213</v>
      </c>
      <c r="C22" s="154" t="s">
        <v>214</v>
      </c>
      <c r="D22" s="154" t="s">
        <v>216</v>
      </c>
      <c r="E22" s="154">
        <v>0.9</v>
      </c>
    </row>
    <row r="23" spans="1:5">
      <c r="A23" s="154" t="s">
        <v>217</v>
      </c>
      <c r="B23" s="154" t="s">
        <v>218</v>
      </c>
      <c r="C23" s="154" t="s">
        <v>219</v>
      </c>
      <c r="D23" s="154" t="s">
        <v>220</v>
      </c>
      <c r="E23" s="154">
        <v>1</v>
      </c>
    </row>
    <row r="24" spans="1:5">
      <c r="A24" s="154" t="s">
        <v>221</v>
      </c>
      <c r="B24" s="154" t="s">
        <v>222</v>
      </c>
      <c r="C24" s="154" t="s">
        <v>223</v>
      </c>
      <c r="D24" s="154" t="s">
        <v>224</v>
      </c>
      <c r="E24" s="154">
        <v>1</v>
      </c>
    </row>
    <row r="25" spans="1:5">
      <c r="A25" s="154" t="s">
        <v>225</v>
      </c>
      <c r="B25" s="154" t="s">
        <v>226</v>
      </c>
      <c r="C25" s="154" t="s">
        <v>227</v>
      </c>
      <c r="D25" s="154" t="s">
        <v>228</v>
      </c>
      <c r="E25" s="154">
        <v>1</v>
      </c>
    </row>
    <row r="26" spans="1:5">
      <c r="A26" s="154" t="s">
        <v>229</v>
      </c>
      <c r="B26" s="154" t="s">
        <v>230</v>
      </c>
      <c r="C26" s="154" t="s">
        <v>231</v>
      </c>
      <c r="D26" s="154" t="s">
        <v>232</v>
      </c>
      <c r="E26" s="154">
        <v>0.12</v>
      </c>
    </row>
    <row r="27" spans="1:5">
      <c r="A27" s="154" t="s">
        <v>229</v>
      </c>
      <c r="B27" s="154" t="s">
        <v>230</v>
      </c>
      <c r="C27" s="154" t="s">
        <v>231</v>
      </c>
      <c r="D27" s="154" t="s">
        <v>233</v>
      </c>
      <c r="E27" s="154">
        <v>0.88</v>
      </c>
    </row>
    <row r="28" spans="1:5">
      <c r="A28" s="154" t="s">
        <v>234</v>
      </c>
      <c r="B28" s="154" t="s">
        <v>235</v>
      </c>
      <c r="C28" s="154" t="s">
        <v>236</v>
      </c>
      <c r="D28" s="154" t="s">
        <v>237</v>
      </c>
      <c r="E28" s="154">
        <v>0.31</v>
      </c>
    </row>
    <row r="29" spans="1:5">
      <c r="A29" s="154" t="s">
        <v>234</v>
      </c>
      <c r="B29" s="154" t="s">
        <v>235</v>
      </c>
      <c r="C29" s="154" t="s">
        <v>236</v>
      </c>
      <c r="D29" s="154" t="s">
        <v>238</v>
      </c>
      <c r="E29" s="154">
        <v>0.15</v>
      </c>
    </row>
    <row r="30" spans="1:5">
      <c r="A30" s="154" t="s">
        <v>234</v>
      </c>
      <c r="B30" s="154" t="s">
        <v>235</v>
      </c>
      <c r="C30" s="154" t="s">
        <v>236</v>
      </c>
      <c r="D30" s="154" t="s">
        <v>239</v>
      </c>
      <c r="E30" s="154">
        <v>0.16</v>
      </c>
    </row>
    <row r="31" spans="1:5">
      <c r="A31" s="154" t="s">
        <v>234</v>
      </c>
      <c r="B31" s="154" t="s">
        <v>235</v>
      </c>
      <c r="C31" s="154" t="s">
        <v>236</v>
      </c>
      <c r="D31" s="154" t="s">
        <v>224</v>
      </c>
      <c r="E31" s="154">
        <v>0.38</v>
      </c>
    </row>
    <row r="32" spans="1:5">
      <c r="A32" s="154" t="s">
        <v>240</v>
      </c>
      <c r="B32" s="154" t="s">
        <v>241</v>
      </c>
      <c r="C32" s="154" t="s">
        <v>242</v>
      </c>
      <c r="D32" s="154" t="s">
        <v>243</v>
      </c>
      <c r="E32" s="154">
        <v>1</v>
      </c>
    </row>
    <row r="33" spans="1:5">
      <c r="A33" s="154" t="s">
        <v>244</v>
      </c>
      <c r="B33" s="154" t="s">
        <v>245</v>
      </c>
      <c r="C33" s="154" t="s">
        <v>246</v>
      </c>
      <c r="D33" s="154" t="s">
        <v>247</v>
      </c>
      <c r="E33" s="154">
        <v>1</v>
      </c>
    </row>
    <row r="34" spans="1:5">
      <c r="A34" s="154" t="s">
        <v>248</v>
      </c>
      <c r="B34" s="154" t="s">
        <v>249</v>
      </c>
      <c r="C34" s="154" t="s">
        <v>250</v>
      </c>
      <c r="D34" s="154" t="s">
        <v>251</v>
      </c>
      <c r="E34" s="154">
        <v>0.13</v>
      </c>
    </row>
    <row r="35" spans="1:5">
      <c r="A35" s="154" t="s">
        <v>248</v>
      </c>
      <c r="B35" s="154" t="s">
        <v>249</v>
      </c>
      <c r="C35" s="154" t="s">
        <v>250</v>
      </c>
      <c r="D35" s="154" t="s">
        <v>252</v>
      </c>
      <c r="E35" s="154">
        <v>0.05</v>
      </c>
    </row>
    <row r="36" spans="1:5">
      <c r="A36" s="154" t="s">
        <v>248</v>
      </c>
      <c r="B36" s="154" t="s">
        <v>249</v>
      </c>
      <c r="C36" s="154" t="s">
        <v>250</v>
      </c>
      <c r="D36" s="154" t="s">
        <v>253</v>
      </c>
      <c r="E36" s="154">
        <v>0.49</v>
      </c>
    </row>
    <row r="37" spans="1:5">
      <c r="A37" s="154" t="s">
        <v>248</v>
      </c>
      <c r="B37" s="154" t="s">
        <v>249</v>
      </c>
      <c r="C37" s="154" t="s">
        <v>250</v>
      </c>
      <c r="D37" s="154" t="s">
        <v>254</v>
      </c>
      <c r="E37" s="154">
        <v>0.33</v>
      </c>
    </row>
    <row r="38" spans="1:5">
      <c r="A38" s="154" t="s">
        <v>255</v>
      </c>
      <c r="B38" s="154" t="s">
        <v>256</v>
      </c>
      <c r="C38" s="154" t="s">
        <v>257</v>
      </c>
      <c r="D38" s="154" t="s">
        <v>258</v>
      </c>
      <c r="E38" s="154">
        <v>1</v>
      </c>
    </row>
    <row r="39" spans="1:5">
      <c r="A39" s="154" t="s">
        <v>259</v>
      </c>
      <c r="B39" s="154" t="s">
        <v>260</v>
      </c>
      <c r="C39" s="154" t="s">
        <v>261</v>
      </c>
      <c r="D39" s="154" t="s">
        <v>262</v>
      </c>
      <c r="E39" s="154">
        <v>1</v>
      </c>
    </row>
    <row r="40" spans="1:5">
      <c r="A40" s="154" t="s">
        <v>263</v>
      </c>
      <c r="B40" s="154" t="s">
        <v>264</v>
      </c>
      <c r="C40" s="154" t="s">
        <v>265</v>
      </c>
      <c r="D40" s="154" t="s">
        <v>266</v>
      </c>
      <c r="E40" s="154">
        <v>1</v>
      </c>
    </row>
    <row r="41" spans="1:5">
      <c r="A41" s="154" t="s">
        <v>267</v>
      </c>
      <c r="B41" s="154" t="s">
        <v>268</v>
      </c>
      <c r="C41" s="154" t="s">
        <v>269</v>
      </c>
      <c r="D41" s="154" t="s">
        <v>270</v>
      </c>
      <c r="E41" s="154">
        <v>0.54</v>
      </c>
    </row>
    <row r="42" spans="1:5">
      <c r="A42" s="154" t="s">
        <v>267</v>
      </c>
      <c r="B42" s="154" t="s">
        <v>268</v>
      </c>
      <c r="C42" s="154" t="s">
        <v>269</v>
      </c>
      <c r="D42" s="154" t="s">
        <v>271</v>
      </c>
      <c r="E42" s="154">
        <v>0.46</v>
      </c>
    </row>
    <row r="43" spans="1:5">
      <c r="A43" s="154" t="s">
        <v>272</v>
      </c>
      <c r="B43" s="154" t="s">
        <v>273</v>
      </c>
      <c r="C43" s="154" t="s">
        <v>274</v>
      </c>
      <c r="D43" s="154" t="s">
        <v>275</v>
      </c>
      <c r="E43" s="154">
        <v>0.32</v>
      </c>
    </row>
    <row r="44" spans="1:5">
      <c r="A44" s="154" t="s">
        <v>272</v>
      </c>
      <c r="B44" s="154" t="s">
        <v>273</v>
      </c>
      <c r="C44" s="154" t="s">
        <v>274</v>
      </c>
      <c r="D44" s="154" t="s">
        <v>276</v>
      </c>
      <c r="E44" s="154">
        <v>0.68</v>
      </c>
    </row>
    <row r="45" spans="1:5">
      <c r="A45" s="154" t="s">
        <v>277</v>
      </c>
      <c r="B45" s="154" t="s">
        <v>278</v>
      </c>
      <c r="C45" s="154" t="s">
        <v>279</v>
      </c>
      <c r="D45" s="154" t="s">
        <v>280</v>
      </c>
      <c r="E45" s="154">
        <v>0.54</v>
      </c>
    </row>
    <row r="46" spans="1:5">
      <c r="A46" s="154" t="s">
        <v>277</v>
      </c>
      <c r="B46" s="154" t="s">
        <v>278</v>
      </c>
      <c r="C46" s="154" t="s">
        <v>279</v>
      </c>
      <c r="D46" s="154" t="s">
        <v>281</v>
      </c>
      <c r="E46" s="154">
        <v>0.46</v>
      </c>
    </row>
    <row r="47" spans="1:5">
      <c r="A47" s="154" t="s">
        <v>282</v>
      </c>
      <c r="B47" s="154" t="s">
        <v>283</v>
      </c>
      <c r="C47" s="154" t="s">
        <v>284</v>
      </c>
      <c r="D47" s="154" t="s">
        <v>285</v>
      </c>
      <c r="E47" s="154">
        <v>0.54</v>
      </c>
    </row>
    <row r="48" spans="1:5">
      <c r="A48" s="154" t="s">
        <v>282</v>
      </c>
      <c r="B48" s="154" t="s">
        <v>283</v>
      </c>
      <c r="C48" s="154" t="s">
        <v>284</v>
      </c>
      <c r="D48" s="154" t="s">
        <v>286</v>
      </c>
      <c r="E48" s="154">
        <v>0.46</v>
      </c>
    </row>
    <row r="49" spans="1:5">
      <c r="A49" s="154" t="s">
        <v>287</v>
      </c>
      <c r="B49" s="154" t="s">
        <v>288</v>
      </c>
      <c r="C49" s="154" t="s">
        <v>289</v>
      </c>
      <c r="D49" s="154" t="s">
        <v>290</v>
      </c>
      <c r="E49" s="154">
        <v>0.54</v>
      </c>
    </row>
    <row r="50" spans="1:5">
      <c r="A50" s="154" t="s">
        <v>287</v>
      </c>
      <c r="B50" s="154" t="s">
        <v>288</v>
      </c>
      <c r="C50" s="154" t="s">
        <v>289</v>
      </c>
      <c r="D50" s="154" t="s">
        <v>291</v>
      </c>
      <c r="E50" s="154">
        <v>0.46</v>
      </c>
    </row>
    <row r="51" spans="1:5">
      <c r="A51" s="154" t="s">
        <v>292</v>
      </c>
      <c r="B51" s="154" t="s">
        <v>293</v>
      </c>
      <c r="C51" s="154" t="s">
        <v>294</v>
      </c>
      <c r="D51" s="154" t="s">
        <v>295</v>
      </c>
      <c r="E51" s="154">
        <v>0.35000000000000003</v>
      </c>
    </row>
    <row r="52" spans="1:5">
      <c r="A52" s="154" t="s">
        <v>292</v>
      </c>
      <c r="B52" s="154" t="s">
        <v>293</v>
      </c>
      <c r="C52" s="154" t="s">
        <v>294</v>
      </c>
      <c r="D52" s="154" t="s">
        <v>296</v>
      </c>
      <c r="E52" s="154">
        <v>0.65</v>
      </c>
    </row>
    <row r="53" spans="1:5">
      <c r="A53" s="154" t="s">
        <v>297</v>
      </c>
      <c r="B53" s="154" t="s">
        <v>298</v>
      </c>
      <c r="C53" s="154" t="s">
        <v>299</v>
      </c>
      <c r="D53" s="154" t="s">
        <v>300</v>
      </c>
      <c r="E53" s="154">
        <v>0.43</v>
      </c>
    </row>
    <row r="54" spans="1:5">
      <c r="A54" s="154" t="s">
        <v>297</v>
      </c>
      <c r="B54" s="154" t="s">
        <v>298</v>
      </c>
      <c r="C54" s="154" t="s">
        <v>299</v>
      </c>
      <c r="D54" s="154" t="s">
        <v>301</v>
      </c>
      <c r="E54" s="154">
        <v>0.57000000000000006</v>
      </c>
    </row>
    <row r="55" spans="1:5">
      <c r="A55" s="154" t="s">
        <v>302</v>
      </c>
      <c r="B55" s="154" t="s">
        <v>303</v>
      </c>
      <c r="C55" s="154" t="s">
        <v>294</v>
      </c>
      <c r="D55" s="154" t="s">
        <v>304</v>
      </c>
      <c r="E55" s="154">
        <v>0.02</v>
      </c>
    </row>
    <row r="56" spans="1:5">
      <c r="A56" s="154" t="s">
        <v>302</v>
      </c>
      <c r="B56" s="154" t="s">
        <v>303</v>
      </c>
      <c r="C56" s="154" t="s">
        <v>294</v>
      </c>
      <c r="D56" s="154" t="s">
        <v>305</v>
      </c>
      <c r="E56" s="154">
        <v>0.75800000000000001</v>
      </c>
    </row>
    <row r="57" spans="1:5">
      <c r="A57" s="154" t="s">
        <v>302</v>
      </c>
      <c r="B57" s="154" t="s">
        <v>303</v>
      </c>
      <c r="C57" s="154" t="s">
        <v>294</v>
      </c>
      <c r="D57" s="154" t="s">
        <v>306</v>
      </c>
      <c r="E57" s="154">
        <v>0.222</v>
      </c>
    </row>
    <row r="58" spans="1:5">
      <c r="A58" s="154" t="s">
        <v>307</v>
      </c>
      <c r="B58" s="154" t="s">
        <v>308</v>
      </c>
      <c r="C58" s="154" t="s">
        <v>309</v>
      </c>
      <c r="D58" s="154" t="s">
        <v>310</v>
      </c>
      <c r="E58" s="154">
        <v>0.54</v>
      </c>
    </row>
    <row r="59" spans="1:5">
      <c r="A59" s="154" t="s">
        <v>307</v>
      </c>
      <c r="B59" s="154" t="s">
        <v>308</v>
      </c>
      <c r="C59" s="154" t="s">
        <v>309</v>
      </c>
      <c r="D59" s="154" t="s">
        <v>311</v>
      </c>
      <c r="E59" s="154">
        <v>0.46</v>
      </c>
    </row>
    <row r="60" spans="1:5">
      <c r="A60" s="154" t="s">
        <v>312</v>
      </c>
      <c r="B60" s="154" t="s">
        <v>313</v>
      </c>
      <c r="C60" s="154" t="s">
        <v>314</v>
      </c>
      <c r="D60" s="154" t="s">
        <v>315</v>
      </c>
      <c r="E60" s="154">
        <v>0.45</v>
      </c>
    </row>
    <row r="61" spans="1:5">
      <c r="A61" s="154" t="s">
        <v>312</v>
      </c>
      <c r="B61" s="154" t="s">
        <v>313</v>
      </c>
      <c r="C61" s="154" t="s">
        <v>314</v>
      </c>
      <c r="D61" s="154" t="s">
        <v>316</v>
      </c>
      <c r="E61" s="154">
        <v>0.55000000000000004</v>
      </c>
    </row>
    <row r="62" spans="1:5">
      <c r="A62" s="154" t="s">
        <v>317</v>
      </c>
      <c r="B62" s="154" t="s">
        <v>318</v>
      </c>
      <c r="C62" s="154" t="s">
        <v>319</v>
      </c>
      <c r="D62" s="154" t="s">
        <v>320</v>
      </c>
      <c r="E62" s="154">
        <v>1</v>
      </c>
    </row>
    <row r="63" spans="1:5">
      <c r="A63" s="154" t="s">
        <v>321</v>
      </c>
      <c r="B63" s="154" t="s">
        <v>322</v>
      </c>
      <c r="C63" s="154" t="s">
        <v>323</v>
      </c>
      <c r="D63" s="154" t="s">
        <v>324</v>
      </c>
      <c r="E63" s="154">
        <v>1</v>
      </c>
    </row>
    <row r="64" spans="1:5">
      <c r="A64" s="154" t="s">
        <v>325</v>
      </c>
      <c r="B64" s="154" t="s">
        <v>326</v>
      </c>
      <c r="C64" s="154" t="s">
        <v>327</v>
      </c>
      <c r="D64" s="154" t="s">
        <v>328</v>
      </c>
      <c r="E64" s="154">
        <v>1</v>
      </c>
    </row>
    <row r="65" spans="1:5">
      <c r="A65" s="154" t="s">
        <v>329</v>
      </c>
      <c r="B65" s="154" t="s">
        <v>330</v>
      </c>
      <c r="C65" s="154" t="s">
        <v>331</v>
      </c>
      <c r="D65" s="154" t="s">
        <v>332</v>
      </c>
      <c r="E65" s="154">
        <v>1</v>
      </c>
    </row>
    <row r="66" spans="1:5">
      <c r="A66" s="154" t="s">
        <v>333</v>
      </c>
      <c r="B66" s="154" t="s">
        <v>334</v>
      </c>
      <c r="C66" s="154" t="s">
        <v>335</v>
      </c>
      <c r="D66" s="154" t="s">
        <v>336</v>
      </c>
      <c r="E66" s="154">
        <v>1</v>
      </c>
    </row>
    <row r="67" spans="1:5">
      <c r="A67" s="154" t="s">
        <v>337</v>
      </c>
      <c r="B67" s="154" t="s">
        <v>338</v>
      </c>
      <c r="C67" s="154" t="s">
        <v>327</v>
      </c>
      <c r="D67" s="154" t="s">
        <v>339</v>
      </c>
      <c r="E67" s="154">
        <v>1</v>
      </c>
    </row>
    <row r="68" spans="1:5">
      <c r="A68" s="154" t="s">
        <v>340</v>
      </c>
      <c r="B68" s="154" t="s">
        <v>341</v>
      </c>
      <c r="C68" s="154" t="s">
        <v>342</v>
      </c>
      <c r="D68" s="154" t="s">
        <v>343</v>
      </c>
      <c r="E68" s="154">
        <v>0.2</v>
      </c>
    </row>
    <row r="69" spans="1:5">
      <c r="A69" s="154" t="s">
        <v>340</v>
      </c>
      <c r="B69" s="154" t="s">
        <v>341</v>
      </c>
      <c r="C69" s="154" t="s">
        <v>342</v>
      </c>
      <c r="D69" s="154" t="s">
        <v>344</v>
      </c>
      <c r="E69" s="154">
        <v>0.8</v>
      </c>
    </row>
    <row r="70" spans="1:5">
      <c r="A70" s="154" t="s">
        <v>345</v>
      </c>
      <c r="B70" s="154" t="s">
        <v>346</v>
      </c>
      <c r="C70" s="154" t="s">
        <v>347</v>
      </c>
      <c r="D70" s="154" t="s">
        <v>348</v>
      </c>
      <c r="E70" s="154">
        <v>0.51819999999999999</v>
      </c>
    </row>
    <row r="71" spans="1:5">
      <c r="A71" s="154" t="s">
        <v>345</v>
      </c>
      <c r="B71" s="154" t="s">
        <v>346</v>
      </c>
      <c r="C71" s="154" t="s">
        <v>347</v>
      </c>
      <c r="D71" s="154" t="s">
        <v>349</v>
      </c>
      <c r="E71" s="154">
        <v>5.5800000000000002E-2</v>
      </c>
    </row>
    <row r="72" spans="1:5">
      <c r="A72" s="154" t="s">
        <v>345</v>
      </c>
      <c r="B72" s="154" t="s">
        <v>346</v>
      </c>
      <c r="C72" s="154" t="s">
        <v>347</v>
      </c>
      <c r="D72" s="154" t="s">
        <v>350</v>
      </c>
      <c r="E72" s="154">
        <v>1.6400000000000001E-2</v>
      </c>
    </row>
    <row r="73" spans="1:5">
      <c r="A73" s="154" t="s">
        <v>345</v>
      </c>
      <c r="B73" s="154" t="s">
        <v>346</v>
      </c>
      <c r="C73" s="154" t="s">
        <v>347</v>
      </c>
      <c r="D73" s="154" t="s">
        <v>351</v>
      </c>
      <c r="E73" s="154">
        <v>0.30909999999999999</v>
      </c>
    </row>
    <row r="74" spans="1:5">
      <c r="A74" s="154" t="s">
        <v>345</v>
      </c>
      <c r="B74" s="154" t="s">
        <v>346</v>
      </c>
      <c r="C74" s="154" t="s">
        <v>347</v>
      </c>
      <c r="D74" s="154" t="s">
        <v>352</v>
      </c>
      <c r="E74" s="154">
        <v>0.10050000000000001</v>
      </c>
    </row>
    <row r="75" spans="1:5">
      <c r="A75" s="154" t="s">
        <v>353</v>
      </c>
      <c r="B75" s="154" t="s">
        <v>354</v>
      </c>
      <c r="C75" s="154" t="s">
        <v>347</v>
      </c>
      <c r="D75" s="154" t="s">
        <v>355</v>
      </c>
      <c r="E75" s="154">
        <v>0.22</v>
      </c>
    </row>
    <row r="76" spans="1:5">
      <c r="A76" s="154" t="s">
        <v>353</v>
      </c>
      <c r="B76" s="154" t="s">
        <v>354</v>
      </c>
      <c r="C76" s="154" t="s">
        <v>347</v>
      </c>
      <c r="D76" s="154" t="s">
        <v>356</v>
      </c>
      <c r="E76" s="154">
        <v>0.3</v>
      </c>
    </row>
    <row r="77" spans="1:5">
      <c r="A77" s="154" t="s">
        <v>353</v>
      </c>
      <c r="B77" s="154" t="s">
        <v>354</v>
      </c>
      <c r="C77" s="154" t="s">
        <v>347</v>
      </c>
      <c r="D77" s="154" t="s">
        <v>357</v>
      </c>
      <c r="E77" s="154">
        <v>0.48</v>
      </c>
    </row>
    <row r="78" spans="1:5">
      <c r="A78" s="154" t="s">
        <v>358</v>
      </c>
      <c r="B78" s="154" t="s">
        <v>359</v>
      </c>
      <c r="C78" s="154" t="s">
        <v>347</v>
      </c>
      <c r="D78" s="154" t="s">
        <v>360</v>
      </c>
      <c r="E78" s="154">
        <v>0.86</v>
      </c>
    </row>
    <row r="79" spans="1:5">
      <c r="A79" s="154" t="s">
        <v>358</v>
      </c>
      <c r="B79" s="154" t="s">
        <v>359</v>
      </c>
      <c r="C79" s="154" t="s">
        <v>347</v>
      </c>
      <c r="D79" s="154" t="s">
        <v>361</v>
      </c>
      <c r="E79" s="154">
        <v>6.5000000000000002E-2</v>
      </c>
    </row>
    <row r="80" spans="1:5">
      <c r="A80" s="154" t="s">
        <v>358</v>
      </c>
      <c r="B80" s="154" t="s">
        <v>359</v>
      </c>
      <c r="C80" s="154" t="s">
        <v>347</v>
      </c>
      <c r="D80" s="154" t="s">
        <v>362</v>
      </c>
      <c r="E80" s="154">
        <v>7.4999999999999997E-2</v>
      </c>
    </row>
    <row r="81" spans="1:5">
      <c r="A81" s="154" t="s">
        <v>363</v>
      </c>
      <c r="B81" s="154" t="s">
        <v>364</v>
      </c>
      <c r="C81" s="154" t="s">
        <v>347</v>
      </c>
      <c r="D81" s="154" t="s">
        <v>365</v>
      </c>
      <c r="E81" s="154">
        <v>0.92700000000000005</v>
      </c>
    </row>
    <row r="82" spans="1:5">
      <c r="A82" s="154" t="s">
        <v>363</v>
      </c>
      <c r="B82" s="154" t="s">
        <v>364</v>
      </c>
      <c r="C82" s="154" t="s">
        <v>347</v>
      </c>
      <c r="D82" s="154" t="s">
        <v>366</v>
      </c>
      <c r="E82" s="154">
        <v>3.7999999999999999E-2</v>
      </c>
    </row>
    <row r="83" spans="1:5">
      <c r="A83" s="154" t="s">
        <v>363</v>
      </c>
      <c r="B83" s="154" t="s">
        <v>364</v>
      </c>
      <c r="C83" s="154" t="s">
        <v>347</v>
      </c>
      <c r="D83" s="154" t="s">
        <v>367</v>
      </c>
      <c r="E83" s="154">
        <v>3.5000000000000003E-2</v>
      </c>
    </row>
    <row r="84" spans="1:5">
      <c r="A84" s="154" t="s">
        <v>368</v>
      </c>
      <c r="B84" s="154" t="s">
        <v>369</v>
      </c>
      <c r="C84" s="154" t="s">
        <v>370</v>
      </c>
      <c r="D84" s="154" t="s">
        <v>371</v>
      </c>
      <c r="E84" s="154">
        <v>1</v>
      </c>
    </row>
    <row r="85" spans="1:5">
      <c r="A85" s="154" t="s">
        <v>372</v>
      </c>
      <c r="B85" s="154" t="s">
        <v>373</v>
      </c>
      <c r="C85" s="154" t="s">
        <v>347</v>
      </c>
      <c r="D85" s="154" t="s">
        <v>374</v>
      </c>
      <c r="E85" s="154">
        <v>1</v>
      </c>
    </row>
    <row r="86" spans="1:5">
      <c r="A86" s="154" t="s">
        <v>375</v>
      </c>
      <c r="B86" s="154" t="s">
        <v>376</v>
      </c>
      <c r="C86" s="154" t="s">
        <v>377</v>
      </c>
      <c r="D86" s="154" t="s">
        <v>378</v>
      </c>
      <c r="E86" s="154">
        <v>1</v>
      </c>
    </row>
    <row r="87" spans="1:5">
      <c r="A87" s="154" t="s">
        <v>379</v>
      </c>
      <c r="B87" s="154" t="s">
        <v>380</v>
      </c>
      <c r="C87" s="154" t="s">
        <v>381</v>
      </c>
      <c r="D87" s="154" t="s">
        <v>382</v>
      </c>
      <c r="E87" s="154">
        <v>0.41</v>
      </c>
    </row>
    <row r="88" spans="1:5">
      <c r="A88" s="154" t="s">
        <v>379</v>
      </c>
      <c r="B88" s="154" t="s">
        <v>380</v>
      </c>
      <c r="C88" s="154" t="s">
        <v>381</v>
      </c>
      <c r="D88" s="154" t="s">
        <v>383</v>
      </c>
      <c r="E88" s="154">
        <v>0.59</v>
      </c>
    </row>
    <row r="89" spans="1:5">
      <c r="A89" s="154" t="s">
        <v>384</v>
      </c>
      <c r="B89" s="154" t="s">
        <v>385</v>
      </c>
      <c r="C89" s="154" t="s">
        <v>386</v>
      </c>
      <c r="D89" s="154" t="s">
        <v>387</v>
      </c>
      <c r="E89" s="154">
        <v>1</v>
      </c>
    </row>
    <row r="90" spans="1:5">
      <c r="A90" s="154" t="s">
        <v>388</v>
      </c>
      <c r="B90" s="154" t="s">
        <v>389</v>
      </c>
      <c r="C90" s="154" t="s">
        <v>231</v>
      </c>
      <c r="D90" s="154" t="s">
        <v>390</v>
      </c>
      <c r="E90" s="154">
        <v>0.41</v>
      </c>
    </row>
    <row r="91" spans="1:5">
      <c r="A91" s="154" t="s">
        <v>388</v>
      </c>
      <c r="B91" s="154" t="s">
        <v>389</v>
      </c>
      <c r="C91" s="154" t="s">
        <v>231</v>
      </c>
      <c r="D91" s="154" t="s">
        <v>391</v>
      </c>
      <c r="E91" s="154">
        <v>0.59</v>
      </c>
    </row>
    <row r="92" spans="1:5">
      <c r="A92" s="154" t="s">
        <v>392</v>
      </c>
      <c r="B92" s="154" t="s">
        <v>393</v>
      </c>
      <c r="C92" s="154" t="s">
        <v>394</v>
      </c>
      <c r="D92" s="154" t="s">
        <v>395</v>
      </c>
      <c r="E92" s="154">
        <v>0.41</v>
      </c>
    </row>
    <row r="93" spans="1:5">
      <c r="A93" s="154" t="s">
        <v>392</v>
      </c>
      <c r="B93" s="154" t="s">
        <v>393</v>
      </c>
      <c r="C93" s="154" t="s">
        <v>394</v>
      </c>
      <c r="D93" s="154" t="s">
        <v>396</v>
      </c>
      <c r="E93" s="154">
        <v>0.59</v>
      </c>
    </row>
    <row r="94" spans="1:5">
      <c r="A94" s="154" t="s">
        <v>397</v>
      </c>
      <c r="B94" s="154" t="s">
        <v>398</v>
      </c>
      <c r="C94" s="154" t="s">
        <v>399</v>
      </c>
      <c r="D94" s="154" t="s">
        <v>400</v>
      </c>
      <c r="E94" s="154">
        <v>0.41</v>
      </c>
    </row>
    <row r="95" spans="1:5">
      <c r="A95" s="154" t="s">
        <v>397</v>
      </c>
      <c r="B95" s="154" t="s">
        <v>398</v>
      </c>
      <c r="C95" s="154" t="s">
        <v>399</v>
      </c>
      <c r="D95" s="154" t="s">
        <v>401</v>
      </c>
      <c r="E95" s="154">
        <v>0.59</v>
      </c>
    </row>
    <row r="96" spans="1:5">
      <c r="A96" s="154" t="s">
        <v>402</v>
      </c>
      <c r="B96" s="154" t="s">
        <v>403</v>
      </c>
      <c r="C96" s="154" t="s">
        <v>404</v>
      </c>
      <c r="D96" s="154" t="s">
        <v>405</v>
      </c>
      <c r="E96" s="154">
        <v>0.22</v>
      </c>
    </row>
    <row r="97" spans="1:5">
      <c r="A97" s="154" t="s">
        <v>402</v>
      </c>
      <c r="B97" s="154" t="s">
        <v>403</v>
      </c>
      <c r="C97" s="154" t="s">
        <v>404</v>
      </c>
      <c r="D97" s="154" t="s">
        <v>406</v>
      </c>
      <c r="E97" s="154">
        <v>0.78</v>
      </c>
    </row>
    <row r="98" spans="1:5">
      <c r="A98" s="154" t="s">
        <v>407</v>
      </c>
      <c r="B98" s="154" t="s">
        <v>408</v>
      </c>
      <c r="C98" s="154" t="s">
        <v>409</v>
      </c>
      <c r="D98" s="154" t="s">
        <v>410</v>
      </c>
      <c r="E98" s="154">
        <v>0.64500000000000002</v>
      </c>
    </row>
    <row r="99" spans="1:5">
      <c r="A99" s="154" t="s">
        <v>407</v>
      </c>
      <c r="B99" s="154" t="s">
        <v>408</v>
      </c>
      <c r="C99" s="154" t="s">
        <v>409</v>
      </c>
      <c r="D99" s="154" t="s">
        <v>411</v>
      </c>
      <c r="E99" s="154">
        <v>0.3</v>
      </c>
    </row>
    <row r="100" spans="1:5">
      <c r="A100" s="154" t="s">
        <v>407</v>
      </c>
      <c r="B100" s="154" t="s">
        <v>408</v>
      </c>
      <c r="C100" s="154" t="s">
        <v>409</v>
      </c>
      <c r="D100" s="154" t="s">
        <v>412</v>
      </c>
      <c r="E100" s="154">
        <v>5.5E-2</v>
      </c>
    </row>
    <row r="101" spans="1:5">
      <c r="A101" s="154" t="s">
        <v>413</v>
      </c>
      <c r="B101" s="154" t="s">
        <v>414</v>
      </c>
      <c r="C101" s="154" t="s">
        <v>342</v>
      </c>
      <c r="D101" s="154" t="s">
        <v>415</v>
      </c>
      <c r="E101" s="154">
        <v>1</v>
      </c>
    </row>
    <row r="102" spans="1:5">
      <c r="A102" s="154" t="s">
        <v>416</v>
      </c>
      <c r="B102" s="154" t="s">
        <v>417</v>
      </c>
      <c r="C102" s="154" t="s">
        <v>418</v>
      </c>
      <c r="D102" s="154" t="s">
        <v>419</v>
      </c>
      <c r="E102" s="154">
        <v>0.22</v>
      </c>
    </row>
    <row r="103" spans="1:5">
      <c r="A103" s="154" t="s">
        <v>416</v>
      </c>
      <c r="B103" s="154" t="s">
        <v>417</v>
      </c>
      <c r="C103" s="154" t="s">
        <v>418</v>
      </c>
      <c r="D103" s="154" t="s">
        <v>420</v>
      </c>
      <c r="E103" s="154">
        <v>0.3</v>
      </c>
    </row>
    <row r="104" spans="1:5">
      <c r="A104" s="154" t="s">
        <v>416</v>
      </c>
      <c r="B104" s="154" t="s">
        <v>417</v>
      </c>
      <c r="C104" s="154" t="s">
        <v>418</v>
      </c>
      <c r="D104" s="154" t="s">
        <v>421</v>
      </c>
      <c r="E104" s="154">
        <v>0.48</v>
      </c>
    </row>
    <row r="105" spans="1:5">
      <c r="A105" s="154" t="s">
        <v>422</v>
      </c>
      <c r="B105" s="154" t="s">
        <v>423</v>
      </c>
      <c r="C105" s="154" t="s">
        <v>424</v>
      </c>
      <c r="D105" s="154" t="s">
        <v>425</v>
      </c>
      <c r="E105" s="154">
        <v>0.56200000000000006</v>
      </c>
    </row>
    <row r="106" spans="1:5">
      <c r="A106" s="154" t="s">
        <v>422</v>
      </c>
      <c r="B106" s="154" t="s">
        <v>423</v>
      </c>
      <c r="C106" s="154" t="s">
        <v>424</v>
      </c>
      <c r="D106" s="154" t="s">
        <v>426</v>
      </c>
      <c r="E106" s="154">
        <v>0.438</v>
      </c>
    </row>
    <row r="107" spans="1:5">
      <c r="A107" s="156" t="s">
        <v>427</v>
      </c>
      <c r="B107" s="156" t="s">
        <v>428</v>
      </c>
      <c r="C107" s="156" t="s">
        <v>429</v>
      </c>
      <c r="D107" s="156" t="s">
        <v>430</v>
      </c>
      <c r="E107" s="156">
        <v>0.75</v>
      </c>
    </row>
    <row r="108" spans="1:5">
      <c r="A108" s="156" t="s">
        <v>427</v>
      </c>
      <c r="B108" s="156" t="s">
        <v>428</v>
      </c>
      <c r="C108" s="156" t="s">
        <v>429</v>
      </c>
      <c r="D108" s="156" t="s">
        <v>431</v>
      </c>
      <c r="E108" s="156">
        <v>0.25</v>
      </c>
    </row>
    <row r="109" spans="1:5">
      <c r="A109" s="154" t="s">
        <v>432</v>
      </c>
      <c r="B109" s="154" t="s">
        <v>433</v>
      </c>
      <c r="C109" s="154" t="s">
        <v>434</v>
      </c>
      <c r="D109" s="154" t="s">
        <v>435</v>
      </c>
      <c r="E109" s="154">
        <v>1</v>
      </c>
    </row>
    <row r="110" spans="1:5">
      <c r="A110" s="154" t="s">
        <v>436</v>
      </c>
      <c r="B110" s="154" t="s">
        <v>437</v>
      </c>
      <c r="C110" s="154" t="s">
        <v>438</v>
      </c>
      <c r="D110" s="154" t="s">
        <v>439</v>
      </c>
      <c r="E110" s="154">
        <v>1</v>
      </c>
    </row>
    <row r="111" spans="1:5">
      <c r="A111" s="154" t="s">
        <v>440</v>
      </c>
      <c r="B111" s="154" t="s">
        <v>441</v>
      </c>
      <c r="C111" s="154" t="s">
        <v>442</v>
      </c>
      <c r="D111" s="154" t="s">
        <v>443</v>
      </c>
      <c r="E111" s="154">
        <v>1</v>
      </c>
    </row>
    <row r="112" spans="1:5">
      <c r="A112" s="154" t="s">
        <v>444</v>
      </c>
      <c r="B112" s="154" t="s">
        <v>445</v>
      </c>
      <c r="C112" s="154" t="s">
        <v>446</v>
      </c>
      <c r="D112" s="154" t="s">
        <v>447</v>
      </c>
      <c r="E112" s="154">
        <v>1</v>
      </c>
    </row>
    <row r="113" spans="1:5">
      <c r="A113" s="154" t="s">
        <v>448</v>
      </c>
      <c r="B113" s="154" t="s">
        <v>449</v>
      </c>
      <c r="C113" s="154" t="s">
        <v>450</v>
      </c>
      <c r="D113" s="154" t="s">
        <v>451</v>
      </c>
      <c r="E113" s="154">
        <v>1</v>
      </c>
    </row>
    <row r="114" spans="1:5">
      <c r="A114" s="156" t="s">
        <v>452</v>
      </c>
      <c r="B114" s="156" t="s">
        <v>453</v>
      </c>
      <c r="C114" s="156" t="s">
        <v>454</v>
      </c>
      <c r="D114" s="156" t="s">
        <v>455</v>
      </c>
      <c r="E114" s="156">
        <v>0.10800000000000001</v>
      </c>
    </row>
    <row r="115" spans="1:5">
      <c r="A115" s="156" t="s">
        <v>452</v>
      </c>
      <c r="B115" s="156" t="s">
        <v>453</v>
      </c>
      <c r="C115" s="156" t="s">
        <v>454</v>
      </c>
      <c r="D115" s="156" t="s">
        <v>456</v>
      </c>
      <c r="E115" s="156">
        <v>0.52500000000000002</v>
      </c>
    </row>
    <row r="116" spans="1:5">
      <c r="A116" s="156" t="s">
        <v>452</v>
      </c>
      <c r="B116" s="156" t="s">
        <v>453</v>
      </c>
      <c r="C116" s="156" t="s">
        <v>454</v>
      </c>
      <c r="D116" s="156" t="s">
        <v>457</v>
      </c>
      <c r="E116" s="156">
        <v>0.34399999999999997</v>
      </c>
    </row>
    <row r="117" spans="1:5">
      <c r="A117" s="156" t="s">
        <v>452</v>
      </c>
      <c r="B117" s="156" t="s">
        <v>453</v>
      </c>
      <c r="C117" s="156" t="s">
        <v>454</v>
      </c>
      <c r="D117" s="156" t="s">
        <v>458</v>
      </c>
      <c r="E117" s="156">
        <v>2.3E-2</v>
      </c>
    </row>
    <row r="118" spans="1:5">
      <c r="A118" s="154" t="s">
        <v>459</v>
      </c>
      <c r="B118" s="154" t="s">
        <v>460</v>
      </c>
      <c r="C118" s="154" t="s">
        <v>461</v>
      </c>
      <c r="D118" s="154" t="s">
        <v>462</v>
      </c>
      <c r="E118" s="154">
        <v>0.17</v>
      </c>
    </row>
    <row r="119" spans="1:5">
      <c r="A119" s="154" t="s">
        <v>459</v>
      </c>
      <c r="B119" s="154" t="s">
        <v>460</v>
      </c>
      <c r="C119" s="154" t="s">
        <v>461</v>
      </c>
      <c r="D119" s="154" t="s">
        <v>463</v>
      </c>
      <c r="E119" s="154">
        <v>0.48</v>
      </c>
    </row>
    <row r="120" spans="1:5">
      <c r="A120" s="154" t="s">
        <v>459</v>
      </c>
      <c r="B120" s="154" t="s">
        <v>460</v>
      </c>
      <c r="C120" s="154" t="s">
        <v>461</v>
      </c>
      <c r="D120" s="154" t="s">
        <v>464</v>
      </c>
      <c r="E120" s="154">
        <v>0.35000000000000003</v>
      </c>
    </row>
    <row r="121" spans="1:5">
      <c r="A121" s="154" t="s">
        <v>465</v>
      </c>
      <c r="B121" s="154" t="s">
        <v>466</v>
      </c>
      <c r="C121" s="154" t="s">
        <v>467</v>
      </c>
      <c r="D121" s="154" t="s">
        <v>468</v>
      </c>
      <c r="E121" s="154">
        <v>0.49</v>
      </c>
    </row>
    <row r="122" spans="1:5">
      <c r="A122" s="154" t="s">
        <v>465</v>
      </c>
      <c r="B122" s="154" t="s">
        <v>466</v>
      </c>
      <c r="C122" s="154" t="s">
        <v>467</v>
      </c>
      <c r="D122" s="154" t="s">
        <v>469</v>
      </c>
      <c r="E122" s="154">
        <v>0.18</v>
      </c>
    </row>
    <row r="123" spans="1:5">
      <c r="A123" s="154" t="s">
        <v>465</v>
      </c>
      <c r="B123" s="154" t="s">
        <v>466</v>
      </c>
      <c r="C123" s="154" t="s">
        <v>467</v>
      </c>
      <c r="D123" s="154" t="s">
        <v>470</v>
      </c>
      <c r="E123" s="154">
        <v>0.33</v>
      </c>
    </row>
    <row r="124" spans="1:5">
      <c r="A124" s="154" t="s">
        <v>471</v>
      </c>
      <c r="B124" s="154" t="s">
        <v>472</v>
      </c>
      <c r="C124" s="154" t="s">
        <v>473</v>
      </c>
      <c r="D124" s="154" t="s">
        <v>474</v>
      </c>
      <c r="E124" s="154">
        <v>1</v>
      </c>
    </row>
    <row r="125" spans="1:5">
      <c r="A125" s="154" t="s">
        <v>475</v>
      </c>
      <c r="B125" s="154" t="s">
        <v>476</v>
      </c>
      <c r="C125" s="154" t="s">
        <v>477</v>
      </c>
      <c r="D125" s="154" t="s">
        <v>478</v>
      </c>
      <c r="E125" s="154">
        <v>1</v>
      </c>
    </row>
    <row r="126" spans="1:5">
      <c r="A126" s="154" t="s">
        <v>479</v>
      </c>
      <c r="B126" s="154" t="s">
        <v>480</v>
      </c>
      <c r="C126" s="154" t="s">
        <v>481</v>
      </c>
      <c r="D126" s="154" t="s">
        <v>482</v>
      </c>
      <c r="E126" s="154">
        <v>1</v>
      </c>
    </row>
    <row r="127" spans="1:5">
      <c r="A127" s="154" t="s">
        <v>483</v>
      </c>
      <c r="B127" s="154" t="s">
        <v>484</v>
      </c>
      <c r="C127" s="154" t="s">
        <v>485</v>
      </c>
      <c r="D127" s="154" t="s">
        <v>486</v>
      </c>
      <c r="E127" s="154">
        <v>1</v>
      </c>
    </row>
    <row r="128" spans="1:5">
      <c r="A128" s="154" t="s">
        <v>487</v>
      </c>
      <c r="B128" s="154" t="s">
        <v>488</v>
      </c>
      <c r="C128" s="154" t="s">
        <v>473</v>
      </c>
      <c r="D128" s="154" t="s">
        <v>489</v>
      </c>
      <c r="E128" s="154">
        <v>1</v>
      </c>
    </row>
    <row r="129" spans="1:5">
      <c r="A129" s="154" t="s">
        <v>490</v>
      </c>
      <c r="B129" s="154" t="s">
        <v>491</v>
      </c>
      <c r="C129" s="154" t="s">
        <v>481</v>
      </c>
      <c r="D129" s="154" t="s">
        <v>492</v>
      </c>
      <c r="E129" s="154">
        <v>1</v>
      </c>
    </row>
    <row r="130" spans="1:5">
      <c r="A130" s="154" t="s">
        <v>493</v>
      </c>
      <c r="B130" s="154" t="s">
        <v>494</v>
      </c>
      <c r="C130" s="154" t="s">
        <v>495</v>
      </c>
      <c r="D130" s="154" t="s">
        <v>496</v>
      </c>
      <c r="E130" s="154">
        <v>1</v>
      </c>
    </row>
    <row r="131" spans="1:5">
      <c r="A131" s="154" t="s">
        <v>497</v>
      </c>
      <c r="B131" s="154" t="s">
        <v>498</v>
      </c>
      <c r="C131" s="154" t="s">
        <v>499</v>
      </c>
      <c r="D131" s="154" t="s">
        <v>500</v>
      </c>
      <c r="E131" s="154">
        <v>1</v>
      </c>
    </row>
    <row r="132" spans="1:5">
      <c r="A132" s="154" t="s">
        <v>501</v>
      </c>
      <c r="B132" s="154" t="s">
        <v>502</v>
      </c>
      <c r="C132" s="154" t="s">
        <v>503</v>
      </c>
      <c r="D132" s="154" t="s">
        <v>504</v>
      </c>
      <c r="E132" s="154">
        <v>1</v>
      </c>
    </row>
    <row r="133" spans="1:5">
      <c r="A133" s="154" t="s">
        <v>505</v>
      </c>
      <c r="B133" s="154" t="s">
        <v>506</v>
      </c>
      <c r="C133" s="154" t="s">
        <v>507</v>
      </c>
      <c r="D133" s="154" t="s">
        <v>508</v>
      </c>
      <c r="E133" s="154">
        <v>1</v>
      </c>
    </row>
    <row r="134" spans="1:5">
      <c r="A134" s="154" t="s">
        <v>509</v>
      </c>
      <c r="B134" s="154" t="s">
        <v>510</v>
      </c>
      <c r="C134" s="154" t="s">
        <v>511</v>
      </c>
      <c r="D134" s="154" t="s">
        <v>512</v>
      </c>
      <c r="E134" s="154">
        <v>0.25</v>
      </c>
    </row>
    <row r="135" spans="1:5">
      <c r="A135" s="154" t="s">
        <v>509</v>
      </c>
      <c r="B135" s="154" t="s">
        <v>510</v>
      </c>
      <c r="C135" s="154" t="s">
        <v>511</v>
      </c>
      <c r="D135" s="154" t="s">
        <v>513</v>
      </c>
      <c r="E135" s="154">
        <v>0.05</v>
      </c>
    </row>
    <row r="136" spans="1:5">
      <c r="A136" s="154" t="s">
        <v>509</v>
      </c>
      <c r="B136" s="154" t="s">
        <v>510</v>
      </c>
      <c r="C136" s="154" t="s">
        <v>511</v>
      </c>
      <c r="D136" s="154" t="s">
        <v>514</v>
      </c>
      <c r="E136" s="154">
        <v>0.70000000000000007</v>
      </c>
    </row>
    <row r="137" spans="1:5">
      <c r="A137" s="154" t="s">
        <v>515</v>
      </c>
      <c r="B137" s="154" t="s">
        <v>516</v>
      </c>
      <c r="C137" s="154" t="s">
        <v>485</v>
      </c>
      <c r="D137" s="154" t="s">
        <v>517</v>
      </c>
      <c r="E137" s="154">
        <v>0.03</v>
      </c>
    </row>
    <row r="138" spans="1:5">
      <c r="A138" s="154" t="s">
        <v>515</v>
      </c>
      <c r="B138" s="154" t="s">
        <v>516</v>
      </c>
      <c r="C138" s="154" t="s">
        <v>485</v>
      </c>
      <c r="D138" s="154" t="s">
        <v>518</v>
      </c>
      <c r="E138" s="154">
        <v>0.06</v>
      </c>
    </row>
    <row r="139" spans="1:5">
      <c r="A139" s="154" t="s">
        <v>515</v>
      </c>
      <c r="B139" s="154" t="s">
        <v>516</v>
      </c>
      <c r="C139" s="154" t="s">
        <v>485</v>
      </c>
      <c r="D139" s="154" t="s">
        <v>519</v>
      </c>
      <c r="E139" s="154">
        <v>0.09</v>
      </c>
    </row>
    <row r="140" spans="1:5">
      <c r="A140" s="154" t="s">
        <v>515</v>
      </c>
      <c r="B140" s="154" t="s">
        <v>516</v>
      </c>
      <c r="C140" s="154" t="s">
        <v>485</v>
      </c>
      <c r="D140" s="154" t="s">
        <v>520</v>
      </c>
      <c r="E140" s="154">
        <v>0.70000000000000007</v>
      </c>
    </row>
    <row r="141" spans="1:5">
      <c r="A141" s="154" t="s">
        <v>515</v>
      </c>
      <c r="B141" s="154" t="s">
        <v>516</v>
      </c>
      <c r="C141" s="154" t="s">
        <v>485</v>
      </c>
      <c r="D141" s="154" t="s">
        <v>521</v>
      </c>
      <c r="E141" s="154">
        <v>0.12</v>
      </c>
    </row>
    <row r="142" spans="1:5">
      <c r="A142" s="154" t="s">
        <v>522</v>
      </c>
      <c r="B142" s="154" t="s">
        <v>523</v>
      </c>
      <c r="C142" s="154" t="s">
        <v>485</v>
      </c>
      <c r="D142" s="154" t="s">
        <v>524</v>
      </c>
      <c r="E142" s="154">
        <v>1</v>
      </c>
    </row>
    <row r="143" spans="1:5">
      <c r="A143" s="154" t="s">
        <v>525</v>
      </c>
      <c r="B143" s="154" t="s">
        <v>526</v>
      </c>
      <c r="C143" s="154" t="s">
        <v>527</v>
      </c>
      <c r="D143" s="154" t="s">
        <v>528</v>
      </c>
      <c r="E143" s="154">
        <v>0.1</v>
      </c>
    </row>
    <row r="144" spans="1:5">
      <c r="A144" s="154" t="s">
        <v>525</v>
      </c>
      <c r="B144" s="154" t="s">
        <v>526</v>
      </c>
      <c r="C144" s="154" t="s">
        <v>527</v>
      </c>
      <c r="D144" s="154" t="s">
        <v>529</v>
      </c>
      <c r="E144" s="154">
        <v>0.9</v>
      </c>
    </row>
    <row r="145" spans="1:5">
      <c r="A145" s="154" t="s">
        <v>530</v>
      </c>
      <c r="B145" s="154" t="s">
        <v>531</v>
      </c>
      <c r="C145" s="154" t="s">
        <v>532</v>
      </c>
      <c r="D145" s="154" t="s">
        <v>533</v>
      </c>
      <c r="E145" s="154">
        <v>0.68</v>
      </c>
    </row>
    <row r="146" spans="1:5">
      <c r="A146" s="154" t="s">
        <v>530</v>
      </c>
      <c r="B146" s="154" t="s">
        <v>531</v>
      </c>
      <c r="C146" s="154" t="s">
        <v>532</v>
      </c>
      <c r="D146" s="154" t="s">
        <v>534</v>
      </c>
      <c r="E146" s="154">
        <v>0.26</v>
      </c>
    </row>
    <row r="147" spans="1:5">
      <c r="A147" s="154" t="s">
        <v>530</v>
      </c>
      <c r="B147" s="154" t="s">
        <v>531</v>
      </c>
      <c r="C147" s="154" t="s">
        <v>532</v>
      </c>
      <c r="D147" s="154" t="s">
        <v>535</v>
      </c>
      <c r="E147" s="154">
        <v>0.06</v>
      </c>
    </row>
    <row r="148" spans="1:5">
      <c r="A148" s="154" t="s">
        <v>536</v>
      </c>
      <c r="B148" s="154" t="s">
        <v>537</v>
      </c>
      <c r="C148" s="154" t="s">
        <v>532</v>
      </c>
      <c r="D148" s="154" t="s">
        <v>538</v>
      </c>
      <c r="E148" s="154">
        <v>0.27800000000000002</v>
      </c>
    </row>
    <row r="149" spans="1:5">
      <c r="A149" s="154" t="s">
        <v>536</v>
      </c>
      <c r="B149" s="154" t="s">
        <v>537</v>
      </c>
      <c r="C149" s="154" t="s">
        <v>532</v>
      </c>
      <c r="D149" s="154" t="s">
        <v>539</v>
      </c>
      <c r="E149" s="154">
        <v>1.7000000000000001E-2</v>
      </c>
    </row>
    <row r="150" spans="1:5">
      <c r="A150" s="154" t="s">
        <v>536</v>
      </c>
      <c r="B150" s="154" t="s">
        <v>537</v>
      </c>
      <c r="C150" s="154" t="s">
        <v>532</v>
      </c>
      <c r="D150" s="154" t="s">
        <v>540</v>
      </c>
      <c r="E150" s="154">
        <v>0.70499999999999996</v>
      </c>
    </row>
    <row r="151" spans="1:5">
      <c r="A151" s="154" t="s">
        <v>541</v>
      </c>
      <c r="B151" s="154" t="s">
        <v>542</v>
      </c>
      <c r="C151" s="154" t="s">
        <v>485</v>
      </c>
      <c r="D151" s="154" t="s">
        <v>543</v>
      </c>
      <c r="E151" s="154">
        <v>0.3</v>
      </c>
    </row>
    <row r="152" spans="1:5">
      <c r="A152" s="154" t="s">
        <v>541</v>
      </c>
      <c r="B152" s="154" t="s">
        <v>542</v>
      </c>
      <c r="C152" s="154" t="s">
        <v>485</v>
      </c>
      <c r="D152" s="154" t="s">
        <v>544</v>
      </c>
      <c r="E152" s="154">
        <v>7.0000000000000007E-2</v>
      </c>
    </row>
    <row r="153" spans="1:5">
      <c r="A153" s="154" t="s">
        <v>541</v>
      </c>
      <c r="B153" s="154" t="s">
        <v>542</v>
      </c>
      <c r="C153" s="154" t="s">
        <v>485</v>
      </c>
      <c r="D153" s="154" t="s">
        <v>545</v>
      </c>
      <c r="E153" s="154">
        <v>0.04</v>
      </c>
    </row>
    <row r="154" spans="1:5">
      <c r="A154" s="154" t="s">
        <v>541</v>
      </c>
      <c r="B154" s="154" t="s">
        <v>542</v>
      </c>
      <c r="C154" s="154" t="s">
        <v>485</v>
      </c>
      <c r="D154" s="154" t="s">
        <v>546</v>
      </c>
      <c r="E154" s="154">
        <v>0.24</v>
      </c>
    </row>
    <row r="155" spans="1:5">
      <c r="A155" s="154" t="s">
        <v>541</v>
      </c>
      <c r="B155" s="154" t="s">
        <v>542</v>
      </c>
      <c r="C155" s="154" t="s">
        <v>485</v>
      </c>
      <c r="D155" s="154" t="s">
        <v>547</v>
      </c>
      <c r="E155" s="154">
        <v>0.15</v>
      </c>
    </row>
    <row r="156" spans="1:5">
      <c r="A156" s="154" t="s">
        <v>541</v>
      </c>
      <c r="B156" s="154" t="s">
        <v>542</v>
      </c>
      <c r="C156" s="154" t="s">
        <v>485</v>
      </c>
      <c r="D156" s="154" t="s">
        <v>548</v>
      </c>
      <c r="E156" s="154">
        <v>0.04</v>
      </c>
    </row>
    <row r="157" spans="1:5">
      <c r="A157" s="154" t="s">
        <v>541</v>
      </c>
      <c r="B157" s="154" t="s">
        <v>542</v>
      </c>
      <c r="C157" s="154" t="s">
        <v>485</v>
      </c>
      <c r="D157" s="154" t="s">
        <v>549</v>
      </c>
      <c r="E157" s="154">
        <v>0.05</v>
      </c>
    </row>
    <row r="158" spans="1:5">
      <c r="A158" s="154" t="s">
        <v>541</v>
      </c>
      <c r="B158" s="154" t="s">
        <v>542</v>
      </c>
      <c r="C158" s="154" t="s">
        <v>485</v>
      </c>
      <c r="D158" s="154" t="s">
        <v>550</v>
      </c>
      <c r="E158" s="154">
        <v>0.04</v>
      </c>
    </row>
    <row r="159" spans="1:5">
      <c r="A159" s="154" t="s">
        <v>541</v>
      </c>
      <c r="B159" s="154" t="s">
        <v>542</v>
      </c>
      <c r="C159" s="154" t="s">
        <v>485</v>
      </c>
      <c r="D159" s="154" t="s">
        <v>551</v>
      </c>
      <c r="E159" s="154">
        <v>0.03</v>
      </c>
    </row>
    <row r="160" spans="1:5">
      <c r="A160" s="154" t="s">
        <v>541</v>
      </c>
      <c r="B160" s="154" t="s">
        <v>542</v>
      </c>
      <c r="C160" s="154" t="s">
        <v>485</v>
      </c>
      <c r="D160" s="154" t="s">
        <v>552</v>
      </c>
      <c r="E160" s="154">
        <v>0.04</v>
      </c>
    </row>
    <row r="161" spans="1:5">
      <c r="A161" s="154" t="s">
        <v>553</v>
      </c>
      <c r="B161" s="154" t="s">
        <v>554</v>
      </c>
      <c r="C161" s="154" t="s">
        <v>532</v>
      </c>
      <c r="D161" s="154" t="s">
        <v>555</v>
      </c>
      <c r="E161" s="154">
        <v>0.12</v>
      </c>
    </row>
    <row r="162" spans="1:5">
      <c r="A162" s="154" t="s">
        <v>553</v>
      </c>
      <c r="B162" s="154" t="s">
        <v>554</v>
      </c>
      <c r="C162" s="154" t="s">
        <v>532</v>
      </c>
      <c r="D162" s="154" t="s">
        <v>556</v>
      </c>
      <c r="E162" s="154">
        <v>0.02</v>
      </c>
    </row>
    <row r="163" spans="1:5">
      <c r="A163" s="154" t="s">
        <v>553</v>
      </c>
      <c r="B163" s="154" t="s">
        <v>554</v>
      </c>
      <c r="C163" s="154" t="s">
        <v>532</v>
      </c>
      <c r="D163" s="154" t="s">
        <v>557</v>
      </c>
      <c r="E163" s="154">
        <v>0.26</v>
      </c>
    </row>
    <row r="164" spans="1:5">
      <c r="A164" s="154" t="s">
        <v>553</v>
      </c>
      <c r="B164" s="154" t="s">
        <v>554</v>
      </c>
      <c r="C164" s="154" t="s">
        <v>532</v>
      </c>
      <c r="D164" s="154" t="s">
        <v>558</v>
      </c>
      <c r="E164" s="154">
        <v>0.5</v>
      </c>
    </row>
    <row r="165" spans="1:5">
      <c r="A165" s="154" t="s">
        <v>553</v>
      </c>
      <c r="B165" s="154" t="s">
        <v>554</v>
      </c>
      <c r="C165" s="154" t="s">
        <v>532</v>
      </c>
      <c r="D165" s="154" t="s">
        <v>559</v>
      </c>
      <c r="E165" s="154">
        <v>0.1</v>
      </c>
    </row>
    <row r="166" spans="1:5">
      <c r="A166" s="154" t="s">
        <v>560</v>
      </c>
      <c r="B166" s="154" t="s">
        <v>561</v>
      </c>
      <c r="C166" s="154" t="s">
        <v>532</v>
      </c>
      <c r="D166" s="154" t="s">
        <v>562</v>
      </c>
      <c r="E166" s="154">
        <v>0.01</v>
      </c>
    </row>
    <row r="167" spans="1:5">
      <c r="A167" s="154" t="s">
        <v>560</v>
      </c>
      <c r="B167" s="154" t="s">
        <v>561</v>
      </c>
      <c r="C167" s="154" t="s">
        <v>532</v>
      </c>
      <c r="D167" s="154" t="s">
        <v>563</v>
      </c>
      <c r="E167" s="154">
        <v>0.26</v>
      </c>
    </row>
    <row r="168" spans="1:5">
      <c r="A168" s="154" t="s">
        <v>560</v>
      </c>
      <c r="B168" s="154" t="s">
        <v>561</v>
      </c>
      <c r="C168" s="154" t="s">
        <v>532</v>
      </c>
      <c r="D168" s="154" t="s">
        <v>564</v>
      </c>
      <c r="E168" s="154">
        <v>0.03</v>
      </c>
    </row>
    <row r="169" spans="1:5">
      <c r="A169" s="154" t="s">
        <v>560</v>
      </c>
      <c r="B169" s="154" t="s">
        <v>561</v>
      </c>
      <c r="C169" s="154" t="s">
        <v>532</v>
      </c>
      <c r="D169" s="154" t="s">
        <v>565</v>
      </c>
      <c r="E169" s="154">
        <v>0.05</v>
      </c>
    </row>
    <row r="170" spans="1:5">
      <c r="A170" s="154" t="s">
        <v>560</v>
      </c>
      <c r="B170" s="154" t="s">
        <v>561</v>
      </c>
      <c r="C170" s="154" t="s">
        <v>532</v>
      </c>
      <c r="D170" s="154" t="s">
        <v>566</v>
      </c>
      <c r="E170" s="154">
        <v>0.65</v>
      </c>
    </row>
    <row r="171" spans="1:5">
      <c r="A171" s="154" t="s">
        <v>567</v>
      </c>
      <c r="B171" s="154" t="s">
        <v>568</v>
      </c>
      <c r="C171" s="154" t="s">
        <v>569</v>
      </c>
      <c r="D171" s="154" t="s">
        <v>570</v>
      </c>
      <c r="E171" s="154">
        <v>0.44</v>
      </c>
    </row>
    <row r="172" spans="1:5">
      <c r="A172" s="154" t="s">
        <v>567</v>
      </c>
      <c r="B172" s="154" t="s">
        <v>568</v>
      </c>
      <c r="C172" s="154" t="s">
        <v>569</v>
      </c>
      <c r="D172" s="154" t="s">
        <v>571</v>
      </c>
      <c r="E172" s="154">
        <v>0.05</v>
      </c>
    </row>
    <row r="173" spans="1:5">
      <c r="A173" s="154" t="s">
        <v>567</v>
      </c>
      <c r="B173" s="154" t="s">
        <v>568</v>
      </c>
      <c r="C173" s="154" t="s">
        <v>569</v>
      </c>
      <c r="D173" s="154" t="s">
        <v>572</v>
      </c>
      <c r="E173" s="154">
        <v>0.02</v>
      </c>
    </row>
    <row r="174" spans="1:5">
      <c r="A174" s="154" t="s">
        <v>567</v>
      </c>
      <c r="B174" s="154" t="s">
        <v>568</v>
      </c>
      <c r="C174" s="154" t="s">
        <v>569</v>
      </c>
      <c r="D174" s="154" t="s">
        <v>573</v>
      </c>
      <c r="E174" s="154">
        <v>0.35000000000000003</v>
      </c>
    </row>
    <row r="175" spans="1:5">
      <c r="A175" s="154" t="s">
        <v>567</v>
      </c>
      <c r="B175" s="154" t="s">
        <v>568</v>
      </c>
      <c r="C175" s="154" t="s">
        <v>569</v>
      </c>
      <c r="D175" s="154" t="s">
        <v>574</v>
      </c>
      <c r="E175" s="154">
        <v>0.14000000000000001</v>
      </c>
    </row>
    <row r="176" spans="1:5">
      <c r="A176" s="154" t="s">
        <v>575</v>
      </c>
      <c r="B176" s="154" t="s">
        <v>576</v>
      </c>
      <c r="C176" s="154" t="s">
        <v>577</v>
      </c>
      <c r="D176" s="154" t="s">
        <v>578</v>
      </c>
      <c r="E176" s="154">
        <v>2.53E-2</v>
      </c>
    </row>
    <row r="177" spans="1:5">
      <c r="A177" s="154" t="s">
        <v>575</v>
      </c>
      <c r="B177" s="154" t="s">
        <v>576</v>
      </c>
      <c r="C177" s="154" t="s">
        <v>577</v>
      </c>
      <c r="D177" s="154" t="s">
        <v>579</v>
      </c>
      <c r="E177" s="154">
        <v>0.97470000000000001</v>
      </c>
    </row>
    <row r="178" spans="1:5">
      <c r="A178" s="154" t="s">
        <v>580</v>
      </c>
      <c r="B178" s="154" t="s">
        <v>581</v>
      </c>
      <c r="C178" s="154" t="s">
        <v>577</v>
      </c>
      <c r="D178" s="154" t="s">
        <v>582</v>
      </c>
      <c r="E178" s="154">
        <v>2.5000000000000001E-2</v>
      </c>
    </row>
    <row r="179" spans="1:5">
      <c r="A179" s="154" t="s">
        <v>580</v>
      </c>
      <c r="B179" s="154" t="s">
        <v>581</v>
      </c>
      <c r="C179" s="154" t="s">
        <v>577</v>
      </c>
      <c r="D179" s="154" t="s">
        <v>583</v>
      </c>
      <c r="E179" s="154">
        <v>2.7999999999999997E-2</v>
      </c>
    </row>
    <row r="180" spans="1:5">
      <c r="A180" s="154" t="s">
        <v>580</v>
      </c>
      <c r="B180" s="154" t="s">
        <v>581</v>
      </c>
      <c r="C180" s="154" t="s">
        <v>577</v>
      </c>
      <c r="D180" s="154" t="s">
        <v>584</v>
      </c>
      <c r="E180" s="154">
        <v>0.85799999999999998</v>
      </c>
    </row>
    <row r="181" spans="1:5">
      <c r="A181" s="154" t="s">
        <v>580</v>
      </c>
      <c r="B181" s="154" t="s">
        <v>581</v>
      </c>
      <c r="C181" s="154" t="s">
        <v>577</v>
      </c>
      <c r="D181" s="154" t="s">
        <v>585</v>
      </c>
      <c r="E181" s="154">
        <v>8.900000000000001E-2</v>
      </c>
    </row>
    <row r="182" spans="1:5">
      <c r="A182" s="154" t="s">
        <v>586</v>
      </c>
      <c r="B182" s="154" t="s">
        <v>587</v>
      </c>
      <c r="C182" s="154" t="s">
        <v>588</v>
      </c>
      <c r="D182" s="154" t="s">
        <v>589</v>
      </c>
      <c r="E182" s="154">
        <v>0.44</v>
      </c>
    </row>
    <row r="183" spans="1:5">
      <c r="A183" s="154" t="s">
        <v>586</v>
      </c>
      <c r="B183" s="154" t="s">
        <v>587</v>
      </c>
      <c r="C183" s="154" t="s">
        <v>588</v>
      </c>
      <c r="D183" s="154" t="s">
        <v>590</v>
      </c>
      <c r="E183" s="154">
        <v>0.56000000000000005</v>
      </c>
    </row>
    <row r="184" spans="1:5">
      <c r="A184" s="154" t="s">
        <v>591</v>
      </c>
      <c r="B184" s="154" t="s">
        <v>592</v>
      </c>
      <c r="C184" s="154" t="s">
        <v>593</v>
      </c>
      <c r="D184" s="154" t="s">
        <v>594</v>
      </c>
      <c r="E184" s="154">
        <v>0.9</v>
      </c>
    </row>
    <row r="185" spans="1:5">
      <c r="A185" s="154" t="s">
        <v>591</v>
      </c>
      <c r="B185" s="154" t="s">
        <v>592</v>
      </c>
      <c r="C185" s="154" t="s">
        <v>593</v>
      </c>
      <c r="D185" s="154" t="s">
        <v>595</v>
      </c>
      <c r="E185" s="154">
        <v>0.06</v>
      </c>
    </row>
    <row r="186" spans="1:5">
      <c r="A186" s="154" t="s">
        <v>591</v>
      </c>
      <c r="B186" s="154" t="s">
        <v>592</v>
      </c>
      <c r="C186" s="154" t="s">
        <v>593</v>
      </c>
      <c r="D186" s="154" t="s">
        <v>596</v>
      </c>
      <c r="E186" s="154">
        <v>0.02</v>
      </c>
    </row>
    <row r="187" spans="1:5">
      <c r="A187" s="154" t="s">
        <v>591</v>
      </c>
      <c r="B187" s="154" t="s">
        <v>592</v>
      </c>
      <c r="C187" s="154" t="s">
        <v>593</v>
      </c>
      <c r="D187" s="154" t="s">
        <v>597</v>
      </c>
      <c r="E187" s="154">
        <v>0.02</v>
      </c>
    </row>
    <row r="188" spans="1:5">
      <c r="A188" s="154" t="s">
        <v>598</v>
      </c>
      <c r="B188" s="154" t="s">
        <v>599</v>
      </c>
      <c r="C188" s="154" t="s">
        <v>600</v>
      </c>
      <c r="D188" s="154" t="s">
        <v>601</v>
      </c>
      <c r="E188" s="154">
        <v>0.76</v>
      </c>
    </row>
    <row r="189" spans="1:5">
      <c r="A189" s="154" t="s">
        <v>598</v>
      </c>
      <c r="B189" s="154" t="s">
        <v>599</v>
      </c>
      <c r="C189" s="154" t="s">
        <v>600</v>
      </c>
      <c r="D189" s="154" t="s">
        <v>602</v>
      </c>
      <c r="E189" s="154">
        <v>0.02</v>
      </c>
    </row>
    <row r="190" spans="1:5">
      <c r="A190" s="154" t="s">
        <v>598</v>
      </c>
      <c r="B190" s="154" t="s">
        <v>599</v>
      </c>
      <c r="C190" s="154" t="s">
        <v>600</v>
      </c>
      <c r="D190" s="154" t="s">
        <v>603</v>
      </c>
      <c r="E190" s="154">
        <v>0.12</v>
      </c>
    </row>
    <row r="191" spans="1:5">
      <c r="A191" s="154" t="s">
        <v>598</v>
      </c>
      <c r="B191" s="154" t="s">
        <v>599</v>
      </c>
      <c r="C191" s="154" t="s">
        <v>600</v>
      </c>
      <c r="D191" s="154" t="s">
        <v>604</v>
      </c>
      <c r="E191" s="154">
        <v>0.08</v>
      </c>
    </row>
    <row r="192" spans="1:5">
      <c r="A192" s="154" t="s">
        <v>598</v>
      </c>
      <c r="B192" s="154" t="s">
        <v>599</v>
      </c>
      <c r="C192" s="154" t="s">
        <v>600</v>
      </c>
      <c r="D192" s="154" t="s">
        <v>605</v>
      </c>
      <c r="E192" s="154">
        <v>0.02</v>
      </c>
    </row>
    <row r="193" spans="1:5">
      <c r="A193" s="154" t="s">
        <v>606</v>
      </c>
      <c r="B193" s="154" t="s">
        <v>607</v>
      </c>
      <c r="C193" s="154" t="s">
        <v>608</v>
      </c>
      <c r="D193" s="154" t="s">
        <v>609</v>
      </c>
      <c r="E193" s="154">
        <v>0.72</v>
      </c>
    </row>
    <row r="194" spans="1:5">
      <c r="A194" s="154" t="s">
        <v>606</v>
      </c>
      <c r="B194" s="154" t="s">
        <v>607</v>
      </c>
      <c r="C194" s="154" t="s">
        <v>608</v>
      </c>
      <c r="D194" s="154" t="s">
        <v>610</v>
      </c>
      <c r="E194" s="154">
        <v>0.28000000000000003</v>
      </c>
    </row>
    <row r="195" spans="1:5">
      <c r="A195" s="154" t="s">
        <v>611</v>
      </c>
      <c r="B195" s="154" t="s">
        <v>612</v>
      </c>
      <c r="C195" s="154" t="s">
        <v>613</v>
      </c>
      <c r="D195" s="154" t="s">
        <v>614</v>
      </c>
      <c r="E195" s="154">
        <v>0.8</v>
      </c>
    </row>
    <row r="196" spans="1:5">
      <c r="A196" s="154" t="s">
        <v>611</v>
      </c>
      <c r="B196" s="154" t="s">
        <v>612</v>
      </c>
      <c r="C196" s="154" t="s">
        <v>613</v>
      </c>
      <c r="D196" s="154" t="s">
        <v>615</v>
      </c>
      <c r="E196" s="154">
        <v>0.2</v>
      </c>
    </row>
    <row r="197" spans="1:5">
      <c r="A197" s="154" t="s">
        <v>616</v>
      </c>
      <c r="B197" s="154" t="s">
        <v>617</v>
      </c>
      <c r="C197" s="154" t="s">
        <v>618</v>
      </c>
      <c r="D197" s="154" t="s">
        <v>619</v>
      </c>
      <c r="E197" s="154">
        <v>0.73</v>
      </c>
    </row>
    <row r="198" spans="1:5">
      <c r="A198" s="154" t="s">
        <v>616</v>
      </c>
      <c r="B198" s="154" t="s">
        <v>617</v>
      </c>
      <c r="C198" s="154" t="s">
        <v>618</v>
      </c>
      <c r="D198" s="154" t="s">
        <v>620</v>
      </c>
      <c r="E198" s="154">
        <v>0.27</v>
      </c>
    </row>
    <row r="199" spans="1:5">
      <c r="A199" s="154" t="s">
        <v>621</v>
      </c>
      <c r="B199" s="154" t="s">
        <v>622</v>
      </c>
      <c r="C199" s="154" t="s">
        <v>623</v>
      </c>
      <c r="D199" s="154" t="s">
        <v>624</v>
      </c>
      <c r="E199" s="154">
        <v>0.187</v>
      </c>
    </row>
    <row r="200" spans="1:5">
      <c r="A200" s="154" t="s">
        <v>621</v>
      </c>
      <c r="B200" s="154" t="s">
        <v>622</v>
      </c>
      <c r="C200" s="154" t="s">
        <v>623</v>
      </c>
      <c r="D200" s="154" t="s">
        <v>625</v>
      </c>
      <c r="E200" s="154">
        <v>0.11</v>
      </c>
    </row>
    <row r="201" spans="1:5">
      <c r="A201" s="154" t="s">
        <v>621</v>
      </c>
      <c r="B201" s="154" t="s">
        <v>622</v>
      </c>
      <c r="C201" s="154" t="s">
        <v>623</v>
      </c>
      <c r="D201" s="154" t="s">
        <v>626</v>
      </c>
      <c r="E201" s="154">
        <v>0.04</v>
      </c>
    </row>
    <row r="202" spans="1:5">
      <c r="A202" s="154" t="s">
        <v>621</v>
      </c>
      <c r="B202" s="154" t="s">
        <v>622</v>
      </c>
      <c r="C202" s="154" t="s">
        <v>623</v>
      </c>
      <c r="D202" s="154" t="s">
        <v>627</v>
      </c>
      <c r="E202" s="154">
        <v>0.08</v>
      </c>
    </row>
    <row r="203" spans="1:5">
      <c r="A203" s="154" t="s">
        <v>621</v>
      </c>
      <c r="B203" s="154" t="s">
        <v>622</v>
      </c>
      <c r="C203" s="154" t="s">
        <v>623</v>
      </c>
      <c r="D203" s="154" t="s">
        <v>628</v>
      </c>
      <c r="E203" s="154">
        <v>0.06</v>
      </c>
    </row>
    <row r="204" spans="1:5">
      <c r="A204" s="154" t="s">
        <v>621</v>
      </c>
      <c r="B204" s="154" t="s">
        <v>622</v>
      </c>
      <c r="C204" s="154" t="s">
        <v>623</v>
      </c>
      <c r="D204" s="154" t="s">
        <v>629</v>
      </c>
      <c r="E204" s="154">
        <v>0.23</v>
      </c>
    </row>
    <row r="205" spans="1:5">
      <c r="A205" s="154" t="s">
        <v>621</v>
      </c>
      <c r="B205" s="154" t="s">
        <v>622</v>
      </c>
      <c r="C205" s="154" t="s">
        <v>623</v>
      </c>
      <c r="D205" s="154" t="s">
        <v>630</v>
      </c>
      <c r="E205" s="154">
        <v>0.13</v>
      </c>
    </row>
    <row r="206" spans="1:5">
      <c r="A206" s="154" t="s">
        <v>621</v>
      </c>
      <c r="B206" s="154" t="s">
        <v>622</v>
      </c>
      <c r="C206" s="154" t="s">
        <v>623</v>
      </c>
      <c r="D206" s="154" t="s">
        <v>631</v>
      </c>
      <c r="E206" s="154">
        <v>0.10299999999999999</v>
      </c>
    </row>
    <row r="207" spans="1:5">
      <c r="A207" s="154" t="s">
        <v>621</v>
      </c>
      <c r="B207" s="154" t="s">
        <v>622</v>
      </c>
      <c r="C207" s="154" t="s">
        <v>623</v>
      </c>
      <c r="D207" s="154" t="s">
        <v>632</v>
      </c>
      <c r="E207" s="154">
        <v>0.06</v>
      </c>
    </row>
    <row r="208" spans="1:5">
      <c r="A208" s="154" t="s">
        <v>633</v>
      </c>
      <c r="B208" s="154" t="s">
        <v>634</v>
      </c>
      <c r="C208" s="154" t="s">
        <v>635</v>
      </c>
      <c r="D208" s="154" t="s">
        <v>636</v>
      </c>
      <c r="E208" s="154">
        <v>1</v>
      </c>
    </row>
    <row r="209" spans="1:5">
      <c r="A209" s="154" t="s">
        <v>637</v>
      </c>
      <c r="B209" s="154" t="s">
        <v>638</v>
      </c>
      <c r="C209" s="154" t="s">
        <v>639</v>
      </c>
      <c r="D209" s="154" t="s">
        <v>640</v>
      </c>
      <c r="E209" s="154">
        <v>1</v>
      </c>
    </row>
    <row r="210" spans="1:5">
      <c r="A210" s="154" t="s">
        <v>641</v>
      </c>
      <c r="B210" s="154" t="s">
        <v>642</v>
      </c>
      <c r="C210" s="154" t="s">
        <v>643</v>
      </c>
      <c r="D210" s="154" t="s">
        <v>644</v>
      </c>
      <c r="E210" s="154">
        <v>0.31900000000000001</v>
      </c>
    </row>
    <row r="211" spans="1:5">
      <c r="A211" s="154" t="s">
        <v>641</v>
      </c>
      <c r="B211" s="154" t="s">
        <v>642</v>
      </c>
      <c r="C211" s="154" t="s">
        <v>643</v>
      </c>
      <c r="D211" s="154" t="s">
        <v>645</v>
      </c>
      <c r="E211" s="154">
        <v>9.9000000000000005E-2</v>
      </c>
    </row>
    <row r="212" spans="1:5">
      <c r="A212" s="154" t="s">
        <v>641</v>
      </c>
      <c r="B212" s="154" t="s">
        <v>642</v>
      </c>
      <c r="C212" s="154" t="s">
        <v>643</v>
      </c>
      <c r="D212" s="154" t="s">
        <v>646</v>
      </c>
      <c r="E212" s="154">
        <v>0.38799999999999996</v>
      </c>
    </row>
    <row r="213" spans="1:5">
      <c r="A213" s="154" t="s">
        <v>641</v>
      </c>
      <c r="B213" s="154" t="s">
        <v>642</v>
      </c>
      <c r="C213" s="154" t="s">
        <v>643</v>
      </c>
      <c r="D213" s="154" t="s">
        <v>647</v>
      </c>
      <c r="E213" s="154">
        <v>0.19399999999999998</v>
      </c>
    </row>
    <row r="214" spans="1:5">
      <c r="A214" s="154" t="s">
        <v>648</v>
      </c>
      <c r="B214" s="154" t="s">
        <v>649</v>
      </c>
      <c r="C214" s="154" t="s">
        <v>650</v>
      </c>
      <c r="D214" s="154" t="s">
        <v>651</v>
      </c>
      <c r="E214" s="154">
        <v>1</v>
      </c>
    </row>
    <row r="215" spans="1:5">
      <c r="A215" s="154" t="s">
        <v>652</v>
      </c>
      <c r="B215" s="154" t="s">
        <v>653</v>
      </c>
      <c r="C215" s="154" t="s">
        <v>654</v>
      </c>
      <c r="D215" s="154" t="s">
        <v>655</v>
      </c>
      <c r="E215" s="154">
        <v>0.3</v>
      </c>
    </row>
    <row r="216" spans="1:5">
      <c r="A216" s="154" t="s">
        <v>652</v>
      </c>
      <c r="B216" s="154" t="s">
        <v>653</v>
      </c>
      <c r="C216" s="154" t="s">
        <v>654</v>
      </c>
      <c r="D216" s="154" t="s">
        <v>656</v>
      </c>
      <c r="E216" s="154">
        <v>0.56999999999999995</v>
      </c>
    </row>
    <row r="217" spans="1:5">
      <c r="A217" s="154" t="s">
        <v>652</v>
      </c>
      <c r="B217" s="154" t="s">
        <v>653</v>
      </c>
      <c r="C217" s="154" t="s">
        <v>654</v>
      </c>
      <c r="D217" s="154" t="s">
        <v>657</v>
      </c>
      <c r="E217" s="154">
        <v>0.13</v>
      </c>
    </row>
    <row r="218" spans="1:5">
      <c r="A218" s="154" t="s">
        <v>658</v>
      </c>
      <c r="B218" s="154" t="s">
        <v>659</v>
      </c>
      <c r="C218" s="154" t="s">
        <v>485</v>
      </c>
      <c r="D218" s="154" t="s">
        <v>660</v>
      </c>
      <c r="E218" s="154">
        <v>0.5</v>
      </c>
    </row>
    <row r="219" spans="1:5">
      <c r="A219" s="154" t="s">
        <v>658</v>
      </c>
      <c r="B219" s="154" t="s">
        <v>659</v>
      </c>
      <c r="C219" s="154" t="s">
        <v>485</v>
      </c>
      <c r="D219" s="154" t="s">
        <v>661</v>
      </c>
      <c r="E219" s="154">
        <v>0.5</v>
      </c>
    </row>
    <row r="220" spans="1:5">
      <c r="A220" s="154" t="s">
        <v>662</v>
      </c>
      <c r="B220" s="154" t="s">
        <v>663</v>
      </c>
      <c r="C220" s="154" t="s">
        <v>664</v>
      </c>
      <c r="D220" s="154" t="s">
        <v>665</v>
      </c>
      <c r="E220" s="154">
        <v>0.35000000000000003</v>
      </c>
    </row>
    <row r="221" spans="1:5">
      <c r="A221" s="154" t="s">
        <v>662</v>
      </c>
      <c r="B221" s="154" t="s">
        <v>663</v>
      </c>
      <c r="C221" s="154" t="s">
        <v>664</v>
      </c>
      <c r="D221" s="154" t="s">
        <v>666</v>
      </c>
      <c r="E221" s="154">
        <v>0.65</v>
      </c>
    </row>
    <row r="222" spans="1:5">
      <c r="A222" s="154" t="s">
        <v>667</v>
      </c>
      <c r="B222" s="154" t="s">
        <v>346</v>
      </c>
      <c r="C222" s="154" t="s">
        <v>418</v>
      </c>
      <c r="D222" s="154" t="s">
        <v>668</v>
      </c>
      <c r="E222" s="154">
        <v>0.59079999999999999</v>
      </c>
    </row>
    <row r="223" spans="1:5">
      <c r="A223" s="154" t="s">
        <v>667</v>
      </c>
      <c r="B223" s="154" t="s">
        <v>346</v>
      </c>
      <c r="C223" s="154" t="s">
        <v>418</v>
      </c>
      <c r="D223" s="154" t="s">
        <v>669</v>
      </c>
      <c r="E223" s="154">
        <v>0.1142</v>
      </c>
    </row>
    <row r="224" spans="1:5">
      <c r="A224" s="154" t="s">
        <v>667</v>
      </c>
      <c r="B224" s="154" t="s">
        <v>346</v>
      </c>
      <c r="C224" s="154" t="s">
        <v>418</v>
      </c>
      <c r="D224" s="154" t="s">
        <v>670</v>
      </c>
      <c r="E224" s="154">
        <v>8.9200000000000002E-2</v>
      </c>
    </row>
    <row r="225" spans="1:5">
      <c r="A225" s="154" t="s">
        <v>667</v>
      </c>
      <c r="B225" s="154" t="s">
        <v>346</v>
      </c>
      <c r="C225" s="154" t="s">
        <v>418</v>
      </c>
      <c r="D225" s="154" t="s">
        <v>671</v>
      </c>
      <c r="E225" s="154">
        <v>0.20580000000000001</v>
      </c>
    </row>
    <row r="226" spans="1:5">
      <c r="A226" s="154" t="s">
        <v>672</v>
      </c>
      <c r="B226" s="154" t="s">
        <v>673</v>
      </c>
      <c r="C226" s="154" t="s">
        <v>418</v>
      </c>
      <c r="D226" s="154" t="s">
        <v>674</v>
      </c>
      <c r="E226" s="154">
        <v>0.86</v>
      </c>
    </row>
    <row r="227" spans="1:5">
      <c r="A227" s="154" t="s">
        <v>672</v>
      </c>
      <c r="B227" s="154" t="s">
        <v>673</v>
      </c>
      <c r="C227" s="154" t="s">
        <v>418</v>
      </c>
      <c r="D227" s="154" t="s">
        <v>675</v>
      </c>
      <c r="E227" s="154">
        <v>6.5000000000000002E-2</v>
      </c>
    </row>
    <row r="228" spans="1:5">
      <c r="A228" s="154" t="s">
        <v>672</v>
      </c>
      <c r="B228" s="154" t="s">
        <v>673</v>
      </c>
      <c r="C228" s="154" t="s">
        <v>418</v>
      </c>
      <c r="D228" s="154" t="s">
        <v>676</v>
      </c>
      <c r="E228" s="154">
        <v>7.4999999999999997E-2</v>
      </c>
    </row>
    <row r="229" spans="1:5">
      <c r="A229" s="154" t="s">
        <v>677</v>
      </c>
      <c r="B229" s="154" t="s">
        <v>678</v>
      </c>
      <c r="C229" s="154" t="s">
        <v>679</v>
      </c>
      <c r="D229" s="154" t="s">
        <v>680</v>
      </c>
      <c r="E229" s="154">
        <v>0.8</v>
      </c>
    </row>
    <row r="230" spans="1:5">
      <c r="A230" s="154" t="s">
        <v>677</v>
      </c>
      <c r="B230" s="154" t="s">
        <v>678</v>
      </c>
      <c r="C230" s="154" t="s">
        <v>679</v>
      </c>
      <c r="D230" s="154" t="s">
        <v>681</v>
      </c>
      <c r="E230" s="154">
        <v>0.15</v>
      </c>
    </row>
    <row r="231" spans="1:5">
      <c r="A231" s="154" t="s">
        <v>677</v>
      </c>
      <c r="B231" s="154" t="s">
        <v>678</v>
      </c>
      <c r="C231" s="154" t="s">
        <v>679</v>
      </c>
      <c r="D231" s="154" t="s">
        <v>682</v>
      </c>
      <c r="E231" s="154">
        <v>0.05</v>
      </c>
    </row>
    <row r="232" spans="1:5">
      <c r="A232" s="154" t="s">
        <v>683</v>
      </c>
      <c r="B232" s="154" t="s">
        <v>684</v>
      </c>
      <c r="C232" s="154" t="s">
        <v>418</v>
      </c>
      <c r="D232" s="154" t="s">
        <v>685</v>
      </c>
      <c r="E232" s="154">
        <v>0.92700000000000005</v>
      </c>
    </row>
    <row r="233" spans="1:5">
      <c r="A233" s="154" t="s">
        <v>683</v>
      </c>
      <c r="B233" s="154" t="s">
        <v>684</v>
      </c>
      <c r="C233" s="154" t="s">
        <v>418</v>
      </c>
      <c r="D233" s="154" t="s">
        <v>686</v>
      </c>
      <c r="E233" s="154">
        <v>3.7999999999999999E-2</v>
      </c>
    </row>
    <row r="234" spans="1:5">
      <c r="A234" s="154" t="s">
        <v>683</v>
      </c>
      <c r="B234" s="154" t="s">
        <v>684</v>
      </c>
      <c r="C234" s="154" t="s">
        <v>418</v>
      </c>
      <c r="D234" s="154" t="s">
        <v>687</v>
      </c>
      <c r="E234" s="154">
        <v>3.5000000000000003E-2</v>
      </c>
    </row>
    <row r="235" spans="1:5">
      <c r="A235" s="154" t="s">
        <v>688</v>
      </c>
      <c r="B235" s="154" t="s">
        <v>689</v>
      </c>
      <c r="C235" s="154" t="s">
        <v>418</v>
      </c>
      <c r="D235" s="154" t="s">
        <v>690</v>
      </c>
      <c r="E235" s="154">
        <v>1</v>
      </c>
    </row>
    <row r="236" spans="1:5">
      <c r="A236" s="154" t="s">
        <v>691</v>
      </c>
      <c r="B236" s="154" t="s">
        <v>692</v>
      </c>
      <c r="C236" s="154" t="s">
        <v>693</v>
      </c>
      <c r="D236" s="154" t="s">
        <v>694</v>
      </c>
      <c r="E236" s="154">
        <v>0.15</v>
      </c>
    </row>
    <row r="237" spans="1:5">
      <c r="A237" s="154" t="s">
        <v>691</v>
      </c>
      <c r="B237" s="154" t="s">
        <v>692</v>
      </c>
      <c r="C237" s="154" t="s">
        <v>693</v>
      </c>
      <c r="D237" s="154" t="s">
        <v>695</v>
      </c>
      <c r="E237" s="154">
        <v>0.85</v>
      </c>
    </row>
    <row r="238" spans="1:5">
      <c r="A238" s="154" t="s">
        <v>696</v>
      </c>
      <c r="B238" s="154" t="s">
        <v>697</v>
      </c>
      <c r="C238" s="154" t="s">
        <v>698</v>
      </c>
      <c r="D238" s="154" t="s">
        <v>699</v>
      </c>
      <c r="E238" s="154">
        <v>3.4000000000000002E-2</v>
      </c>
    </row>
    <row r="239" spans="1:5">
      <c r="A239" s="154" t="s">
        <v>696</v>
      </c>
      <c r="B239" s="154" t="s">
        <v>697</v>
      </c>
      <c r="C239" s="154" t="s">
        <v>698</v>
      </c>
      <c r="D239" s="154" t="s">
        <v>700</v>
      </c>
      <c r="E239" s="154">
        <v>2.7E-2</v>
      </c>
    </row>
    <row r="240" spans="1:5">
      <c r="A240" s="154" t="s">
        <v>696</v>
      </c>
      <c r="B240" s="154" t="s">
        <v>697</v>
      </c>
      <c r="C240" s="154" t="s">
        <v>698</v>
      </c>
      <c r="D240" s="154" t="s">
        <v>701</v>
      </c>
      <c r="E240" s="154">
        <v>0.38800000000000001</v>
      </c>
    </row>
    <row r="241" spans="1:5">
      <c r="A241" s="154" t="s">
        <v>696</v>
      </c>
      <c r="B241" s="154" t="s">
        <v>697</v>
      </c>
      <c r="C241" s="154" t="s">
        <v>698</v>
      </c>
      <c r="D241" s="154" t="s">
        <v>702</v>
      </c>
      <c r="E241" s="154">
        <v>1.6E-2</v>
      </c>
    </row>
    <row r="242" spans="1:5">
      <c r="A242" s="154" t="s">
        <v>696</v>
      </c>
      <c r="B242" s="154" t="s">
        <v>697</v>
      </c>
      <c r="C242" s="154" t="s">
        <v>698</v>
      </c>
      <c r="D242" s="154" t="s">
        <v>703</v>
      </c>
      <c r="E242" s="154">
        <v>4.2999999999999997E-2</v>
      </c>
    </row>
    <row r="243" spans="1:5">
      <c r="A243" s="154" t="s">
        <v>696</v>
      </c>
      <c r="B243" s="154" t="s">
        <v>697</v>
      </c>
      <c r="C243" s="154" t="s">
        <v>698</v>
      </c>
      <c r="D243" s="154" t="s">
        <v>704</v>
      </c>
      <c r="E243" s="154">
        <v>1.0999999999999999E-2</v>
      </c>
    </row>
    <row r="244" spans="1:5">
      <c r="A244" s="154" t="s">
        <v>696</v>
      </c>
      <c r="B244" s="154" t="s">
        <v>697</v>
      </c>
      <c r="C244" s="154" t="s">
        <v>698</v>
      </c>
      <c r="D244" s="154" t="s">
        <v>705</v>
      </c>
      <c r="E244" s="154">
        <v>0.13200000000000001</v>
      </c>
    </row>
    <row r="245" spans="1:5">
      <c r="A245" s="154" t="s">
        <v>696</v>
      </c>
      <c r="B245" s="154" t="s">
        <v>697</v>
      </c>
      <c r="C245" s="154" t="s">
        <v>698</v>
      </c>
      <c r="D245" s="154" t="s">
        <v>706</v>
      </c>
      <c r="E245" s="154">
        <v>0.216</v>
      </c>
    </row>
    <row r="246" spans="1:5">
      <c r="A246" s="154" t="s">
        <v>696</v>
      </c>
      <c r="B246" s="154" t="s">
        <v>697</v>
      </c>
      <c r="C246" s="154" t="s">
        <v>698</v>
      </c>
      <c r="D246" s="154" t="s">
        <v>707</v>
      </c>
      <c r="E246" s="154">
        <v>0.13300000000000001</v>
      </c>
    </row>
    <row r="247" spans="1:5">
      <c r="A247" s="154" t="s">
        <v>708</v>
      </c>
      <c r="B247" s="154" t="s">
        <v>709</v>
      </c>
      <c r="C247" s="154" t="s">
        <v>710</v>
      </c>
      <c r="D247" s="154" t="s">
        <v>711</v>
      </c>
      <c r="E247" s="154">
        <v>1</v>
      </c>
    </row>
    <row r="248" spans="1:5">
      <c r="A248" s="154" t="s">
        <v>712</v>
      </c>
      <c r="B248" s="154" t="s">
        <v>153</v>
      </c>
      <c r="C248" s="154" t="s">
        <v>713</v>
      </c>
      <c r="D248" s="154" t="s">
        <v>714</v>
      </c>
      <c r="E248" s="154">
        <v>0.22</v>
      </c>
    </row>
    <row r="249" spans="1:5">
      <c r="A249" s="154" t="s">
        <v>712</v>
      </c>
      <c r="B249" s="154" t="s">
        <v>153</v>
      </c>
      <c r="C249" s="154" t="s">
        <v>713</v>
      </c>
      <c r="D249" s="154" t="s">
        <v>715</v>
      </c>
      <c r="E249" s="154">
        <v>0.17499999999999999</v>
      </c>
    </row>
    <row r="250" spans="1:5">
      <c r="A250" s="154" t="s">
        <v>712</v>
      </c>
      <c r="B250" s="154" t="s">
        <v>153</v>
      </c>
      <c r="C250" s="154" t="s">
        <v>713</v>
      </c>
      <c r="D250" s="154" t="s">
        <v>716</v>
      </c>
      <c r="E250" s="154">
        <v>8.5000000000000006E-2</v>
      </c>
    </row>
    <row r="251" spans="1:5">
      <c r="A251" s="154" t="s">
        <v>712</v>
      </c>
      <c r="B251" s="154" t="s">
        <v>153</v>
      </c>
      <c r="C251" s="154" t="s">
        <v>713</v>
      </c>
      <c r="D251" s="154" t="s">
        <v>717</v>
      </c>
      <c r="E251" s="154">
        <v>0.17499999999999999</v>
      </c>
    </row>
    <row r="252" spans="1:5">
      <c r="A252" s="154" t="s">
        <v>712</v>
      </c>
      <c r="B252" s="154" t="s">
        <v>153</v>
      </c>
      <c r="C252" s="154" t="s">
        <v>713</v>
      </c>
      <c r="D252" s="154" t="s">
        <v>718</v>
      </c>
      <c r="E252" s="154">
        <v>0.17499999999999999</v>
      </c>
    </row>
    <row r="253" spans="1:5">
      <c r="A253" s="154" t="s">
        <v>712</v>
      </c>
      <c r="B253" s="154" t="s">
        <v>153</v>
      </c>
      <c r="C253" s="154" t="s">
        <v>713</v>
      </c>
      <c r="D253" s="154" t="s">
        <v>719</v>
      </c>
      <c r="E253" s="154">
        <v>0.17</v>
      </c>
    </row>
    <row r="254" spans="1:5">
      <c r="A254" s="154" t="s">
        <v>720</v>
      </c>
      <c r="B254" s="154" t="s">
        <v>721</v>
      </c>
      <c r="C254" s="154" t="s">
        <v>722</v>
      </c>
      <c r="D254" s="154" t="s">
        <v>723</v>
      </c>
      <c r="E254" s="154">
        <v>0.76</v>
      </c>
    </row>
    <row r="255" spans="1:5">
      <c r="A255" s="154" t="s">
        <v>720</v>
      </c>
      <c r="B255" s="154" t="s">
        <v>721</v>
      </c>
      <c r="C255" s="154" t="s">
        <v>722</v>
      </c>
      <c r="D255" s="154" t="s">
        <v>724</v>
      </c>
      <c r="E255" s="154">
        <v>0.24</v>
      </c>
    </row>
    <row r="256" spans="1:5">
      <c r="A256" s="154" t="s">
        <v>725</v>
      </c>
      <c r="B256" s="154" t="s">
        <v>726</v>
      </c>
      <c r="C256" s="154" t="s">
        <v>727</v>
      </c>
      <c r="D256" s="154" t="s">
        <v>728</v>
      </c>
      <c r="E256" s="154">
        <v>0.76</v>
      </c>
    </row>
    <row r="257" spans="1:5">
      <c r="A257" s="154" t="s">
        <v>725</v>
      </c>
      <c r="B257" s="154" t="s">
        <v>726</v>
      </c>
      <c r="C257" s="154" t="s">
        <v>727</v>
      </c>
      <c r="D257" s="154" t="s">
        <v>729</v>
      </c>
      <c r="E257" s="154">
        <v>0.02</v>
      </c>
    </row>
    <row r="258" spans="1:5">
      <c r="A258" s="154" t="s">
        <v>725</v>
      </c>
      <c r="B258" s="154" t="s">
        <v>726</v>
      </c>
      <c r="C258" s="154" t="s">
        <v>727</v>
      </c>
      <c r="D258" s="154" t="s">
        <v>730</v>
      </c>
      <c r="E258" s="154">
        <v>0.12</v>
      </c>
    </row>
    <row r="259" spans="1:5">
      <c r="A259" s="154" t="s">
        <v>725</v>
      </c>
      <c r="B259" s="154" t="s">
        <v>726</v>
      </c>
      <c r="C259" s="154" t="s">
        <v>727</v>
      </c>
      <c r="D259" s="154" t="s">
        <v>731</v>
      </c>
      <c r="E259" s="154">
        <v>0.08</v>
      </c>
    </row>
    <row r="260" spans="1:5">
      <c r="A260" s="154" t="s">
        <v>725</v>
      </c>
      <c r="B260" s="154" t="s">
        <v>726</v>
      </c>
      <c r="C260" s="154" t="s">
        <v>727</v>
      </c>
      <c r="D260" s="154" t="s">
        <v>732</v>
      </c>
      <c r="E260" s="154">
        <v>0.02</v>
      </c>
    </row>
    <row r="261" spans="1:5">
      <c r="A261" s="154" t="s">
        <v>733</v>
      </c>
      <c r="B261" s="154" t="s">
        <v>734</v>
      </c>
      <c r="C261" s="154" t="s">
        <v>693</v>
      </c>
      <c r="D261" s="154" t="s">
        <v>735</v>
      </c>
      <c r="E261" s="154">
        <v>0.88</v>
      </c>
    </row>
    <row r="262" spans="1:5">
      <c r="A262" s="154" t="s">
        <v>733</v>
      </c>
      <c r="B262" s="154" t="s">
        <v>734</v>
      </c>
      <c r="C262" s="154" t="s">
        <v>693</v>
      </c>
      <c r="D262" s="154" t="s">
        <v>736</v>
      </c>
      <c r="E262" s="154">
        <v>0.1</v>
      </c>
    </row>
    <row r="263" spans="1:5">
      <c r="A263" s="154" t="s">
        <v>733</v>
      </c>
      <c r="B263" s="154" t="s">
        <v>734</v>
      </c>
      <c r="C263" s="154" t="s">
        <v>693</v>
      </c>
      <c r="D263" s="154" t="s">
        <v>737</v>
      </c>
      <c r="E263" s="154">
        <v>0.02</v>
      </c>
    </row>
    <row r="264" spans="1:5">
      <c r="A264" s="154" t="s">
        <v>738</v>
      </c>
      <c r="B264" s="154" t="s">
        <v>739</v>
      </c>
      <c r="C264" s="154" t="s">
        <v>740</v>
      </c>
      <c r="D264" s="154" t="s">
        <v>741</v>
      </c>
      <c r="E264" s="154">
        <v>0.72</v>
      </c>
    </row>
    <row r="265" spans="1:5">
      <c r="A265" s="154" t="s">
        <v>738</v>
      </c>
      <c r="B265" s="154" t="s">
        <v>739</v>
      </c>
      <c r="C265" s="154" t="s">
        <v>740</v>
      </c>
      <c r="D265" s="154" t="s">
        <v>742</v>
      </c>
      <c r="E265" s="154">
        <v>0.14000000000000001</v>
      </c>
    </row>
    <row r="266" spans="1:5">
      <c r="A266" s="154" t="s">
        <v>738</v>
      </c>
      <c r="B266" s="154" t="s">
        <v>739</v>
      </c>
      <c r="C266" s="154" t="s">
        <v>740</v>
      </c>
      <c r="D266" s="154" t="s">
        <v>743</v>
      </c>
      <c r="E266" s="154">
        <v>0.14000000000000001</v>
      </c>
    </row>
    <row r="267" spans="1:5">
      <c r="A267" s="154" t="s">
        <v>744</v>
      </c>
      <c r="B267" s="154" t="s">
        <v>745</v>
      </c>
      <c r="C267" s="154" t="s">
        <v>746</v>
      </c>
      <c r="D267" s="154" t="s">
        <v>747</v>
      </c>
      <c r="E267" s="154">
        <v>0.88</v>
      </c>
    </row>
    <row r="268" spans="1:5">
      <c r="A268" s="154" t="s">
        <v>744</v>
      </c>
      <c r="B268" s="154" t="s">
        <v>745</v>
      </c>
      <c r="C268" s="154" t="s">
        <v>746</v>
      </c>
      <c r="D268" s="154" t="s">
        <v>748</v>
      </c>
      <c r="E268" s="154">
        <v>7.0000000000000007E-2</v>
      </c>
    </row>
    <row r="269" spans="1:5">
      <c r="A269" s="154" t="s">
        <v>744</v>
      </c>
      <c r="B269" s="154" t="s">
        <v>745</v>
      </c>
      <c r="C269" s="154" t="s">
        <v>746</v>
      </c>
      <c r="D269" s="154" t="s">
        <v>749</v>
      </c>
      <c r="E269" s="154">
        <v>0.05</v>
      </c>
    </row>
    <row r="270" spans="1:5">
      <c r="A270" s="154" t="s">
        <v>750</v>
      </c>
      <c r="B270" s="154" t="s">
        <v>751</v>
      </c>
      <c r="C270" s="154" t="s">
        <v>752</v>
      </c>
      <c r="D270" s="154" t="s">
        <v>753</v>
      </c>
      <c r="E270" s="154">
        <v>0.46</v>
      </c>
    </row>
    <row r="271" spans="1:5">
      <c r="A271" s="154" t="s">
        <v>750</v>
      </c>
      <c r="B271" s="154" t="s">
        <v>751</v>
      </c>
      <c r="C271" s="154" t="s">
        <v>752</v>
      </c>
      <c r="D271" s="154" t="s">
        <v>754</v>
      </c>
      <c r="E271" s="154">
        <v>0.54</v>
      </c>
    </row>
    <row r="272" spans="1:5">
      <c r="A272" s="154" t="s">
        <v>755</v>
      </c>
      <c r="B272" s="154" t="s">
        <v>756</v>
      </c>
      <c r="C272" s="154" t="s">
        <v>713</v>
      </c>
      <c r="D272" s="154" t="s">
        <v>757</v>
      </c>
      <c r="E272" s="154">
        <v>0.35000000000000003</v>
      </c>
    </row>
    <row r="273" spans="1:5">
      <c r="A273" s="154" t="s">
        <v>755</v>
      </c>
      <c r="B273" s="154" t="s">
        <v>756</v>
      </c>
      <c r="C273" s="154" t="s">
        <v>713</v>
      </c>
      <c r="D273" s="154" t="s">
        <v>758</v>
      </c>
      <c r="E273" s="154">
        <v>0.05</v>
      </c>
    </row>
    <row r="274" spans="1:5">
      <c r="A274" s="154" t="s">
        <v>755</v>
      </c>
      <c r="B274" s="154" t="s">
        <v>756</v>
      </c>
      <c r="C274" s="154" t="s">
        <v>713</v>
      </c>
      <c r="D274" s="154" t="s">
        <v>759</v>
      </c>
      <c r="E274" s="154">
        <v>0.05</v>
      </c>
    </row>
    <row r="275" spans="1:5">
      <c r="A275" s="154" t="s">
        <v>755</v>
      </c>
      <c r="B275" s="154" t="s">
        <v>756</v>
      </c>
      <c r="C275" s="154" t="s">
        <v>713</v>
      </c>
      <c r="D275" s="154" t="s">
        <v>760</v>
      </c>
      <c r="E275" s="154">
        <v>0.1</v>
      </c>
    </row>
    <row r="276" spans="1:5">
      <c r="A276" s="154" t="s">
        <v>755</v>
      </c>
      <c r="B276" s="154" t="s">
        <v>756</v>
      </c>
      <c r="C276" s="154" t="s">
        <v>713</v>
      </c>
      <c r="D276" s="154" t="s">
        <v>761</v>
      </c>
      <c r="E276" s="154">
        <v>0.25</v>
      </c>
    </row>
    <row r="277" spans="1:5">
      <c r="A277" s="154" t="s">
        <v>755</v>
      </c>
      <c r="B277" s="154" t="s">
        <v>756</v>
      </c>
      <c r="C277" s="154" t="s">
        <v>713</v>
      </c>
      <c r="D277" s="154" t="s">
        <v>762</v>
      </c>
      <c r="E277" s="154">
        <v>0.02</v>
      </c>
    </row>
    <row r="278" spans="1:5">
      <c r="A278" s="154" t="s">
        <v>755</v>
      </c>
      <c r="B278" s="154" t="s">
        <v>756</v>
      </c>
      <c r="C278" s="154" t="s">
        <v>713</v>
      </c>
      <c r="D278" s="154" t="s">
        <v>763</v>
      </c>
      <c r="E278" s="154">
        <v>0.18</v>
      </c>
    </row>
    <row r="279" spans="1:5">
      <c r="A279" s="154" t="s">
        <v>764</v>
      </c>
      <c r="B279" s="154" t="s">
        <v>765</v>
      </c>
      <c r="C279" s="154" t="s">
        <v>485</v>
      </c>
      <c r="D279" s="154" t="s">
        <v>766</v>
      </c>
      <c r="E279" s="154">
        <v>1</v>
      </c>
    </row>
    <row r="280" spans="1:5">
      <c r="A280" s="156" t="s">
        <v>767</v>
      </c>
      <c r="B280" s="156" t="s">
        <v>768</v>
      </c>
      <c r="C280" s="156" t="s">
        <v>769</v>
      </c>
      <c r="D280" s="156" t="s">
        <v>770</v>
      </c>
      <c r="E280" s="156">
        <v>0.25</v>
      </c>
    </row>
    <row r="281" spans="1:5">
      <c r="A281" s="156" t="s">
        <v>767</v>
      </c>
      <c r="B281" s="156" t="s">
        <v>768</v>
      </c>
      <c r="C281" s="156" t="s">
        <v>769</v>
      </c>
      <c r="D281" s="156" t="s">
        <v>771</v>
      </c>
      <c r="E281" s="156">
        <v>0.25</v>
      </c>
    </row>
    <row r="282" spans="1:5">
      <c r="A282" s="156" t="s">
        <v>767</v>
      </c>
      <c r="B282" s="156" t="s">
        <v>768</v>
      </c>
      <c r="C282" s="156" t="s">
        <v>769</v>
      </c>
      <c r="D282" s="156" t="s">
        <v>772</v>
      </c>
      <c r="E282" s="156">
        <v>0.5</v>
      </c>
    </row>
    <row r="283" spans="1:5">
      <c r="A283" s="154" t="s">
        <v>773</v>
      </c>
      <c r="B283" s="154" t="s">
        <v>774</v>
      </c>
      <c r="C283" s="154" t="s">
        <v>499</v>
      </c>
      <c r="D283" s="154" t="s">
        <v>775</v>
      </c>
      <c r="E283" s="154">
        <v>1</v>
      </c>
    </row>
    <row r="284" spans="1:5">
      <c r="A284" s="154" t="s">
        <v>776</v>
      </c>
      <c r="B284" s="154" t="s">
        <v>777</v>
      </c>
      <c r="C284" s="154" t="s">
        <v>778</v>
      </c>
      <c r="D284" s="154" t="s">
        <v>779</v>
      </c>
      <c r="E284" s="154">
        <v>0.76</v>
      </c>
    </row>
    <row r="285" spans="1:5">
      <c r="A285" s="154" t="s">
        <v>776</v>
      </c>
      <c r="B285" s="154" t="s">
        <v>777</v>
      </c>
      <c r="C285" s="154" t="s">
        <v>778</v>
      </c>
      <c r="D285" s="154" t="s">
        <v>780</v>
      </c>
      <c r="E285" s="154">
        <v>0.24</v>
      </c>
    </row>
    <row r="286" spans="1:5">
      <c r="A286" s="154" t="s">
        <v>781</v>
      </c>
      <c r="B286" s="154" t="s">
        <v>782</v>
      </c>
      <c r="C286" s="154" t="s">
        <v>783</v>
      </c>
      <c r="D286" s="154" t="s">
        <v>784</v>
      </c>
      <c r="E286" s="154">
        <v>0.43</v>
      </c>
    </row>
    <row r="287" spans="1:5">
      <c r="A287" s="154" t="s">
        <v>781</v>
      </c>
      <c r="B287" s="154" t="s">
        <v>782</v>
      </c>
      <c r="C287" s="154" t="s">
        <v>783</v>
      </c>
      <c r="D287" s="154" t="s">
        <v>252</v>
      </c>
      <c r="E287" s="154">
        <v>0.33</v>
      </c>
    </row>
    <row r="288" spans="1:5">
      <c r="A288" s="154" t="s">
        <v>781</v>
      </c>
      <c r="B288" s="154" t="s">
        <v>782</v>
      </c>
      <c r="C288" s="154" t="s">
        <v>783</v>
      </c>
      <c r="D288" s="154" t="s">
        <v>785</v>
      </c>
      <c r="E288" s="154">
        <v>0.17</v>
      </c>
    </row>
    <row r="289" spans="1:5">
      <c r="A289" s="154" t="s">
        <v>781</v>
      </c>
      <c r="B289" s="154" t="s">
        <v>782</v>
      </c>
      <c r="C289" s="154" t="s">
        <v>783</v>
      </c>
      <c r="D289" s="154" t="s">
        <v>786</v>
      </c>
      <c r="E289" s="154">
        <v>7.0000000000000007E-2</v>
      </c>
    </row>
    <row r="290" spans="1:5">
      <c r="A290" s="154" t="s">
        <v>787</v>
      </c>
      <c r="B290" s="154" t="s">
        <v>788</v>
      </c>
      <c r="C290" s="154" t="s">
        <v>789</v>
      </c>
      <c r="D290" s="154" t="s">
        <v>252</v>
      </c>
      <c r="E290" s="154">
        <v>1</v>
      </c>
    </row>
    <row r="291" spans="1:5">
      <c r="A291" s="154" t="s">
        <v>790</v>
      </c>
      <c r="B291" s="154" t="s">
        <v>791</v>
      </c>
      <c r="C291" s="154" t="s">
        <v>789</v>
      </c>
      <c r="D291" s="154" t="s">
        <v>792</v>
      </c>
      <c r="E291" s="154">
        <v>0.72</v>
      </c>
    </row>
    <row r="292" spans="1:5">
      <c r="A292" s="154" t="s">
        <v>790</v>
      </c>
      <c r="B292" s="154" t="s">
        <v>791</v>
      </c>
      <c r="C292" s="154" t="s">
        <v>789</v>
      </c>
      <c r="D292" s="154" t="s">
        <v>793</v>
      </c>
      <c r="E292" s="154">
        <v>0.28000000000000003</v>
      </c>
    </row>
    <row r="293" spans="1:5">
      <c r="A293" s="154" t="s">
        <v>794</v>
      </c>
      <c r="B293" s="154" t="s">
        <v>795</v>
      </c>
      <c r="C293" s="154" t="s">
        <v>796</v>
      </c>
      <c r="D293" s="154" t="s">
        <v>797</v>
      </c>
      <c r="E293" s="154">
        <v>0.44</v>
      </c>
    </row>
    <row r="294" spans="1:5">
      <c r="A294" s="154" t="s">
        <v>794</v>
      </c>
      <c r="B294" s="154" t="s">
        <v>795</v>
      </c>
      <c r="C294" s="154" t="s">
        <v>796</v>
      </c>
      <c r="D294" s="154" t="s">
        <v>798</v>
      </c>
      <c r="E294" s="154">
        <v>0.46</v>
      </c>
    </row>
    <row r="295" spans="1:5">
      <c r="A295" s="154" t="s">
        <v>794</v>
      </c>
      <c r="B295" s="154" t="s">
        <v>795</v>
      </c>
      <c r="C295" s="154" t="s">
        <v>796</v>
      </c>
      <c r="D295" s="154" t="s">
        <v>799</v>
      </c>
      <c r="E295" s="154">
        <v>0.02</v>
      </c>
    </row>
    <row r="296" spans="1:5">
      <c r="A296" s="154" t="s">
        <v>794</v>
      </c>
      <c r="B296" s="154" t="s">
        <v>795</v>
      </c>
      <c r="C296" s="154" t="s">
        <v>796</v>
      </c>
      <c r="D296" s="154" t="s">
        <v>800</v>
      </c>
      <c r="E296" s="154">
        <v>0.04</v>
      </c>
    </row>
    <row r="297" spans="1:5">
      <c r="A297" s="154" t="s">
        <v>794</v>
      </c>
      <c r="B297" s="154" t="s">
        <v>795</v>
      </c>
      <c r="C297" s="154" t="s">
        <v>796</v>
      </c>
      <c r="D297" s="154" t="s">
        <v>801</v>
      </c>
      <c r="E297" s="154">
        <v>0.04</v>
      </c>
    </row>
    <row r="298" spans="1:5">
      <c r="A298" s="154" t="s">
        <v>802</v>
      </c>
      <c r="B298" s="154" t="s">
        <v>803</v>
      </c>
      <c r="C298" s="154" t="s">
        <v>804</v>
      </c>
      <c r="D298" s="154" t="s">
        <v>805</v>
      </c>
      <c r="E298" s="154">
        <v>0.35000000000000003</v>
      </c>
    </row>
    <row r="299" spans="1:5">
      <c r="A299" s="154" t="s">
        <v>802</v>
      </c>
      <c r="B299" s="154" t="s">
        <v>803</v>
      </c>
      <c r="C299" s="154" t="s">
        <v>804</v>
      </c>
      <c r="D299" s="154" t="s">
        <v>806</v>
      </c>
      <c r="E299" s="154">
        <v>0.48</v>
      </c>
    </row>
    <row r="300" spans="1:5">
      <c r="A300" s="154" t="s">
        <v>802</v>
      </c>
      <c r="B300" s="154" t="s">
        <v>803</v>
      </c>
      <c r="C300" s="154" t="s">
        <v>804</v>
      </c>
      <c r="D300" s="154" t="s">
        <v>807</v>
      </c>
      <c r="E300" s="154">
        <v>0.06</v>
      </c>
    </row>
    <row r="301" spans="1:5">
      <c r="A301" s="154" t="s">
        <v>802</v>
      </c>
      <c r="B301" s="154" t="s">
        <v>803</v>
      </c>
      <c r="C301" s="154" t="s">
        <v>804</v>
      </c>
      <c r="D301" s="154" t="s">
        <v>808</v>
      </c>
      <c r="E301" s="154">
        <v>0.02</v>
      </c>
    </row>
    <row r="302" spans="1:5">
      <c r="A302" s="154" t="s">
        <v>802</v>
      </c>
      <c r="B302" s="154" t="s">
        <v>803</v>
      </c>
      <c r="C302" s="154" t="s">
        <v>804</v>
      </c>
      <c r="D302" s="154" t="s">
        <v>809</v>
      </c>
      <c r="E302" s="154">
        <v>0.09</v>
      </c>
    </row>
    <row r="303" spans="1:5">
      <c r="A303" s="154" t="s">
        <v>810</v>
      </c>
      <c r="B303" s="154" t="s">
        <v>811</v>
      </c>
      <c r="C303" s="154" t="s">
        <v>812</v>
      </c>
      <c r="D303" s="154" t="s">
        <v>813</v>
      </c>
      <c r="E303" s="154">
        <v>0.51</v>
      </c>
    </row>
    <row r="304" spans="1:5">
      <c r="A304" s="154" t="s">
        <v>810</v>
      </c>
      <c r="B304" s="154" t="s">
        <v>811</v>
      </c>
      <c r="C304" s="154" t="s">
        <v>812</v>
      </c>
      <c r="D304" s="154" t="s">
        <v>814</v>
      </c>
      <c r="E304" s="154">
        <v>0.18</v>
      </c>
    </row>
    <row r="305" spans="1:5">
      <c r="A305" s="154" t="s">
        <v>810</v>
      </c>
      <c r="B305" s="154" t="s">
        <v>811</v>
      </c>
      <c r="C305" s="154" t="s">
        <v>812</v>
      </c>
      <c r="D305" s="154" t="s">
        <v>815</v>
      </c>
      <c r="E305" s="154">
        <v>0.14000000000000001</v>
      </c>
    </row>
    <row r="306" spans="1:5">
      <c r="A306" s="154" t="s">
        <v>810</v>
      </c>
      <c r="B306" s="154" t="s">
        <v>811</v>
      </c>
      <c r="C306" s="154" t="s">
        <v>812</v>
      </c>
      <c r="D306" s="154" t="s">
        <v>816</v>
      </c>
      <c r="E306" s="154">
        <v>0.03</v>
      </c>
    </row>
    <row r="307" spans="1:5">
      <c r="A307" s="154" t="s">
        <v>810</v>
      </c>
      <c r="B307" s="154" t="s">
        <v>811</v>
      </c>
      <c r="C307" s="154" t="s">
        <v>812</v>
      </c>
      <c r="D307" s="154" t="s">
        <v>817</v>
      </c>
      <c r="E307" s="154">
        <v>0.09</v>
      </c>
    </row>
    <row r="308" spans="1:5">
      <c r="A308" s="154" t="s">
        <v>810</v>
      </c>
      <c r="B308" s="154" t="s">
        <v>811</v>
      </c>
      <c r="C308" s="154" t="s">
        <v>812</v>
      </c>
      <c r="D308" s="154" t="s">
        <v>818</v>
      </c>
      <c r="E308" s="154">
        <v>0.05</v>
      </c>
    </row>
    <row r="309" spans="1:5">
      <c r="A309" s="154" t="s">
        <v>819</v>
      </c>
      <c r="B309" s="154" t="s">
        <v>820</v>
      </c>
      <c r="C309" s="154" t="s">
        <v>821</v>
      </c>
      <c r="D309" s="154" t="s">
        <v>822</v>
      </c>
      <c r="E309" s="154">
        <v>0.97</v>
      </c>
    </row>
    <row r="310" spans="1:5">
      <c r="A310" s="154" t="s">
        <v>819</v>
      </c>
      <c r="B310" s="154" t="s">
        <v>820</v>
      </c>
      <c r="C310" s="154" t="s">
        <v>821</v>
      </c>
      <c r="D310" s="154" t="s">
        <v>823</v>
      </c>
      <c r="E310" s="154">
        <v>0.03</v>
      </c>
    </row>
    <row r="311" spans="1:5">
      <c r="A311" s="154" t="s">
        <v>824</v>
      </c>
      <c r="B311" s="154" t="s">
        <v>825</v>
      </c>
      <c r="C311" s="154" t="s">
        <v>693</v>
      </c>
      <c r="D311" s="154" t="s">
        <v>694</v>
      </c>
      <c r="E311" s="154">
        <v>0.45</v>
      </c>
    </row>
    <row r="312" spans="1:5">
      <c r="A312" s="154" t="s">
        <v>824</v>
      </c>
      <c r="B312" s="154" t="s">
        <v>825</v>
      </c>
      <c r="C312" s="154" t="s">
        <v>693</v>
      </c>
      <c r="D312" s="154" t="s">
        <v>695</v>
      </c>
      <c r="E312" s="154">
        <v>0.28999999999999998</v>
      </c>
    </row>
    <row r="313" spans="1:5">
      <c r="A313" s="154" t="s">
        <v>824</v>
      </c>
      <c r="B313" s="154" t="s">
        <v>825</v>
      </c>
      <c r="C313" s="154" t="s">
        <v>693</v>
      </c>
      <c r="D313" s="154" t="s">
        <v>826</v>
      </c>
      <c r="E313" s="154">
        <v>0.26</v>
      </c>
    </row>
    <row r="314" spans="1:5">
      <c r="A314" s="154" t="s">
        <v>827</v>
      </c>
      <c r="B314" s="154" t="s">
        <v>828</v>
      </c>
      <c r="C314" s="154" t="s">
        <v>485</v>
      </c>
      <c r="D314" s="154" t="s">
        <v>829</v>
      </c>
      <c r="E314" s="154">
        <v>0.47000000000000003</v>
      </c>
    </row>
    <row r="315" spans="1:5">
      <c r="A315" s="154" t="s">
        <v>827</v>
      </c>
      <c r="B315" s="154" t="s">
        <v>828</v>
      </c>
      <c r="C315" s="154" t="s">
        <v>485</v>
      </c>
      <c r="D315" s="154" t="s">
        <v>830</v>
      </c>
      <c r="E315" s="154">
        <v>0.53</v>
      </c>
    </row>
    <row r="316" spans="1:5">
      <c r="A316" s="154" t="s">
        <v>831</v>
      </c>
      <c r="B316" s="154" t="s">
        <v>832</v>
      </c>
      <c r="C316" s="154" t="s">
        <v>833</v>
      </c>
      <c r="D316" s="154" t="s">
        <v>834</v>
      </c>
      <c r="E316" s="154">
        <v>0.2</v>
      </c>
    </row>
    <row r="317" spans="1:5">
      <c r="A317" s="154" t="s">
        <v>831</v>
      </c>
      <c r="B317" s="154" t="s">
        <v>832</v>
      </c>
      <c r="C317" s="154" t="s">
        <v>833</v>
      </c>
      <c r="D317" s="154" t="s">
        <v>835</v>
      </c>
      <c r="E317" s="154">
        <v>0.8</v>
      </c>
    </row>
    <row r="318" spans="1:5">
      <c r="A318" s="154" t="s">
        <v>836</v>
      </c>
      <c r="B318" s="154" t="s">
        <v>832</v>
      </c>
      <c r="C318" s="154" t="s">
        <v>837</v>
      </c>
      <c r="D318" s="154" t="s">
        <v>838</v>
      </c>
      <c r="E318" s="154">
        <v>0.125</v>
      </c>
    </row>
    <row r="319" spans="1:5">
      <c r="A319" s="154" t="s">
        <v>836</v>
      </c>
      <c r="B319" s="154" t="s">
        <v>832</v>
      </c>
      <c r="C319" s="154" t="s">
        <v>837</v>
      </c>
      <c r="D319" s="154" t="s">
        <v>839</v>
      </c>
      <c r="E319" s="154">
        <v>0.65</v>
      </c>
    </row>
    <row r="320" spans="1:5">
      <c r="A320" s="154" t="s">
        <v>836</v>
      </c>
      <c r="B320" s="154" t="s">
        <v>832</v>
      </c>
      <c r="C320" s="154" t="s">
        <v>837</v>
      </c>
      <c r="D320" s="154" t="s">
        <v>840</v>
      </c>
      <c r="E320" s="154">
        <v>0.22500000000000001</v>
      </c>
    </row>
    <row r="321" spans="1:5">
      <c r="A321" s="154" t="s">
        <v>841</v>
      </c>
      <c r="B321" s="154" t="s">
        <v>842</v>
      </c>
      <c r="C321" s="154" t="s">
        <v>843</v>
      </c>
      <c r="D321" s="154" t="s">
        <v>835</v>
      </c>
      <c r="E321" s="154">
        <v>0.49</v>
      </c>
    </row>
    <row r="322" spans="1:5">
      <c r="A322" s="154" t="s">
        <v>841</v>
      </c>
      <c r="B322" s="154" t="s">
        <v>842</v>
      </c>
      <c r="C322" s="154" t="s">
        <v>843</v>
      </c>
      <c r="D322" s="154" t="s">
        <v>844</v>
      </c>
      <c r="E322" s="154">
        <v>7.0000000000000007E-2</v>
      </c>
    </row>
    <row r="323" spans="1:5">
      <c r="A323" s="154" t="s">
        <v>841</v>
      </c>
      <c r="B323" s="154" t="s">
        <v>842</v>
      </c>
      <c r="C323" s="154" t="s">
        <v>843</v>
      </c>
      <c r="D323" s="154" t="s">
        <v>845</v>
      </c>
      <c r="E323" s="154">
        <v>0.44</v>
      </c>
    </row>
    <row r="324" spans="1:5">
      <c r="A324" s="154" t="s">
        <v>846</v>
      </c>
      <c r="B324" s="154" t="s">
        <v>847</v>
      </c>
      <c r="C324" s="154" t="s">
        <v>837</v>
      </c>
      <c r="D324" s="154" t="s">
        <v>848</v>
      </c>
      <c r="E324" s="154">
        <v>1</v>
      </c>
    </row>
    <row r="325" spans="1:5">
      <c r="A325" s="154" t="s">
        <v>849</v>
      </c>
      <c r="B325" s="154" t="s">
        <v>850</v>
      </c>
      <c r="C325" s="154" t="s">
        <v>851</v>
      </c>
      <c r="D325" s="154" t="s">
        <v>852</v>
      </c>
      <c r="E325" s="154">
        <v>1</v>
      </c>
    </row>
    <row r="326" spans="1:5">
      <c r="A326" s="154" t="s">
        <v>853</v>
      </c>
      <c r="B326" s="154" t="s">
        <v>854</v>
      </c>
      <c r="C326" s="154" t="s">
        <v>209</v>
      </c>
      <c r="D326" s="154" t="s">
        <v>855</v>
      </c>
      <c r="E326" s="154">
        <v>0.56799999999999995</v>
      </c>
    </row>
    <row r="327" spans="1:5">
      <c r="A327" s="154" t="s">
        <v>853</v>
      </c>
      <c r="B327" s="154" t="s">
        <v>854</v>
      </c>
      <c r="C327" s="154" t="s">
        <v>209</v>
      </c>
      <c r="D327" s="154" t="s">
        <v>856</v>
      </c>
      <c r="E327" s="154">
        <v>0.43200000000000005</v>
      </c>
    </row>
    <row r="328" spans="1:5">
      <c r="A328" s="154" t="s">
        <v>857</v>
      </c>
      <c r="B328" s="154" t="s">
        <v>858</v>
      </c>
      <c r="C328" s="154" t="s">
        <v>859</v>
      </c>
      <c r="D328" s="154" t="s">
        <v>860</v>
      </c>
      <c r="E328" s="154">
        <v>1</v>
      </c>
    </row>
    <row r="329" spans="1:5">
      <c r="A329" s="154" t="s">
        <v>861</v>
      </c>
      <c r="B329" s="154" t="s">
        <v>862</v>
      </c>
      <c r="C329" s="154" t="s">
        <v>863</v>
      </c>
      <c r="D329" s="154" t="s">
        <v>864</v>
      </c>
      <c r="E329" s="154">
        <v>1</v>
      </c>
    </row>
    <row r="330" spans="1:5">
      <c r="A330" s="154" t="s">
        <v>865</v>
      </c>
      <c r="B330" s="154" t="s">
        <v>866</v>
      </c>
      <c r="C330" s="154" t="s">
        <v>867</v>
      </c>
      <c r="D330" s="154" t="s">
        <v>868</v>
      </c>
      <c r="E330" s="154">
        <v>1</v>
      </c>
    </row>
    <row r="331" spans="1:5">
      <c r="A331" s="154" t="s">
        <v>869</v>
      </c>
      <c r="B331" s="154" t="s">
        <v>870</v>
      </c>
      <c r="C331" s="154" t="s">
        <v>871</v>
      </c>
      <c r="D331" s="154" t="s">
        <v>872</v>
      </c>
      <c r="E331" s="154">
        <v>0.37</v>
      </c>
    </row>
    <row r="332" spans="1:5">
      <c r="A332" s="154" t="s">
        <v>869</v>
      </c>
      <c r="B332" s="154" t="s">
        <v>870</v>
      </c>
      <c r="C332" s="154" t="s">
        <v>871</v>
      </c>
      <c r="D332" s="154" t="s">
        <v>873</v>
      </c>
      <c r="E332" s="154">
        <v>0.63</v>
      </c>
    </row>
    <row r="333" spans="1:5">
      <c r="A333" s="154" t="s">
        <v>874</v>
      </c>
      <c r="B333" s="154" t="s">
        <v>875</v>
      </c>
      <c r="C333" s="154" t="s">
        <v>871</v>
      </c>
      <c r="D333" s="154" t="s">
        <v>876</v>
      </c>
      <c r="E333" s="154">
        <v>1</v>
      </c>
    </row>
    <row r="334" spans="1:5">
      <c r="A334" s="154" t="s">
        <v>877</v>
      </c>
      <c r="B334" s="154" t="s">
        <v>878</v>
      </c>
      <c r="C334" s="154" t="s">
        <v>879</v>
      </c>
      <c r="D334" s="154" t="s">
        <v>880</v>
      </c>
      <c r="E334" s="154">
        <v>1</v>
      </c>
    </row>
    <row r="335" spans="1:5">
      <c r="A335" s="154" t="s">
        <v>881</v>
      </c>
      <c r="B335" s="154" t="s">
        <v>882</v>
      </c>
      <c r="C335" s="154" t="s">
        <v>879</v>
      </c>
      <c r="D335" s="154" t="s">
        <v>883</v>
      </c>
      <c r="E335" s="154">
        <v>0.5</v>
      </c>
    </row>
    <row r="336" spans="1:5">
      <c r="A336" s="154" t="s">
        <v>881</v>
      </c>
      <c r="B336" s="154" t="s">
        <v>882</v>
      </c>
      <c r="C336" s="154" t="s">
        <v>879</v>
      </c>
      <c r="D336" s="154" t="s">
        <v>880</v>
      </c>
      <c r="E336" s="154">
        <v>0.5</v>
      </c>
    </row>
    <row r="337" spans="1:5">
      <c r="A337" s="156" t="s">
        <v>884</v>
      </c>
      <c r="B337" s="156" t="s">
        <v>885</v>
      </c>
      <c r="C337" s="156" t="s">
        <v>886</v>
      </c>
      <c r="D337" s="156" t="s">
        <v>887</v>
      </c>
      <c r="E337" s="156">
        <v>0.2</v>
      </c>
    </row>
    <row r="338" spans="1:5">
      <c r="A338" s="156" t="s">
        <v>884</v>
      </c>
      <c r="B338" s="156" t="s">
        <v>885</v>
      </c>
      <c r="C338" s="156" t="s">
        <v>886</v>
      </c>
      <c r="D338" s="156" t="s">
        <v>888</v>
      </c>
      <c r="E338" s="156">
        <v>0.41000000000000003</v>
      </c>
    </row>
    <row r="339" spans="1:5">
      <c r="A339" s="156" t="s">
        <v>884</v>
      </c>
      <c r="B339" s="156" t="s">
        <v>885</v>
      </c>
      <c r="C339" s="156" t="s">
        <v>886</v>
      </c>
      <c r="D339" s="156" t="s">
        <v>889</v>
      </c>
      <c r="E339" s="156">
        <v>0.39</v>
      </c>
    </row>
    <row r="340" spans="1:5">
      <c r="A340" s="154" t="s">
        <v>890</v>
      </c>
      <c r="B340" s="154" t="s">
        <v>891</v>
      </c>
      <c r="C340" s="154" t="s">
        <v>892</v>
      </c>
      <c r="D340" s="154" t="s">
        <v>893</v>
      </c>
      <c r="E340" s="154">
        <v>0.77</v>
      </c>
    </row>
    <row r="341" spans="1:5">
      <c r="A341" s="154" t="s">
        <v>890</v>
      </c>
      <c r="B341" s="154" t="s">
        <v>891</v>
      </c>
      <c r="C341" s="154" t="s">
        <v>892</v>
      </c>
      <c r="D341" s="154" t="s">
        <v>894</v>
      </c>
      <c r="E341" s="154">
        <v>0.115</v>
      </c>
    </row>
    <row r="342" spans="1:5">
      <c r="A342" s="154" t="s">
        <v>890</v>
      </c>
      <c r="B342" s="154" t="s">
        <v>891</v>
      </c>
      <c r="C342" s="154" t="s">
        <v>892</v>
      </c>
      <c r="D342" s="154" t="s">
        <v>895</v>
      </c>
      <c r="E342" s="154">
        <v>0.115</v>
      </c>
    </row>
    <row r="343" spans="1:5">
      <c r="A343" s="156" t="s">
        <v>896</v>
      </c>
      <c r="B343" s="156" t="s">
        <v>897</v>
      </c>
      <c r="C343" s="156" t="s">
        <v>898</v>
      </c>
      <c r="D343" s="156" t="s">
        <v>899</v>
      </c>
      <c r="E343" s="156">
        <v>1</v>
      </c>
    </row>
    <row r="344" spans="1:5">
      <c r="A344" s="156" t="s">
        <v>900</v>
      </c>
      <c r="B344" s="156" t="s">
        <v>901</v>
      </c>
      <c r="C344" s="156" t="s">
        <v>898</v>
      </c>
      <c r="D344" s="156" t="s">
        <v>902</v>
      </c>
      <c r="E344" s="156">
        <v>1</v>
      </c>
    </row>
    <row r="345" spans="1:5">
      <c r="A345" s="154" t="s">
        <v>903</v>
      </c>
      <c r="B345" s="154" t="s">
        <v>904</v>
      </c>
      <c r="C345" s="154" t="s">
        <v>905</v>
      </c>
      <c r="D345" s="154" t="s">
        <v>906</v>
      </c>
      <c r="E345" s="154">
        <v>1</v>
      </c>
    </row>
    <row r="346" spans="1:5">
      <c r="A346" s="154" t="s">
        <v>907</v>
      </c>
      <c r="B346" s="154" t="s">
        <v>908</v>
      </c>
      <c r="C346" s="154" t="s">
        <v>909</v>
      </c>
      <c r="D346" s="154" t="s">
        <v>910</v>
      </c>
      <c r="E346" s="154">
        <v>1</v>
      </c>
    </row>
    <row r="347" spans="1:5">
      <c r="A347" s="154"/>
      <c r="B347" s="154"/>
      <c r="C347" s="154"/>
      <c r="D347" s="154"/>
      <c r="E347" s="154"/>
    </row>
    <row r="348" spans="1:5">
      <c r="A348" s="154"/>
      <c r="B348" s="154"/>
      <c r="C348" s="154"/>
      <c r="D348" s="154"/>
      <c r="E348" s="154"/>
    </row>
    <row r="349" spans="1:5">
      <c r="A349" s="154"/>
      <c r="B349" s="154"/>
      <c r="C349" s="154"/>
      <c r="D349" s="154"/>
      <c r="E349" s="154"/>
    </row>
    <row r="350" spans="1:5">
      <c r="A350" s="154"/>
      <c r="B350" s="154"/>
      <c r="C350" s="154"/>
      <c r="D350" s="154"/>
      <c r="E350" s="154"/>
    </row>
    <row r="351" spans="1:5">
      <c r="A351" s="154"/>
      <c r="B351" s="154"/>
      <c r="C351" s="154"/>
      <c r="D351" s="154"/>
      <c r="E351" s="154"/>
    </row>
    <row r="352" spans="1:5">
      <c r="A352" s="154"/>
      <c r="B352" s="154"/>
      <c r="C352" s="154"/>
      <c r="D352" s="154"/>
      <c r="E352" s="154"/>
    </row>
    <row r="353" spans="1:5">
      <c r="A353" s="154"/>
      <c r="B353" s="154"/>
      <c r="C353" s="154"/>
      <c r="D353" s="154"/>
      <c r="E353" s="154"/>
    </row>
    <row r="354" spans="1:5">
      <c r="A354" s="154"/>
      <c r="B354" s="154"/>
      <c r="C354" s="154"/>
      <c r="D354" s="154"/>
      <c r="E354" s="154"/>
    </row>
    <row r="355" spans="1:5">
      <c r="A355" s="154"/>
      <c r="B355" s="154"/>
      <c r="C355" s="154"/>
      <c r="D355" s="154"/>
      <c r="E355" s="154"/>
    </row>
    <row r="356" spans="1:5">
      <c r="A356" s="154"/>
      <c r="B356" s="154"/>
      <c r="C356" s="154"/>
      <c r="D356" s="154"/>
      <c r="E356" s="154"/>
    </row>
    <row r="357" spans="1:5">
      <c r="A357" s="154"/>
      <c r="B357" s="154"/>
      <c r="C357" s="154"/>
      <c r="D357" s="154"/>
      <c r="E357" s="154"/>
    </row>
    <row r="358" spans="1:5">
      <c r="A358" s="154"/>
      <c r="B358" s="154"/>
      <c r="C358" s="154"/>
      <c r="D358" s="154"/>
      <c r="E358" s="154"/>
    </row>
    <row r="359" spans="1:5">
      <c r="A359" s="154"/>
      <c r="B359" s="154"/>
      <c r="C359" s="154"/>
      <c r="D359" s="154"/>
      <c r="E359" s="154"/>
    </row>
    <row r="360" spans="1:5">
      <c r="A360" s="154"/>
      <c r="B360" s="154"/>
      <c r="C360" s="154"/>
      <c r="D360" s="154"/>
      <c r="E360" s="154"/>
    </row>
    <row r="361" spans="1:5">
      <c r="A361" s="154"/>
      <c r="B361" s="154"/>
      <c r="C361" s="154"/>
      <c r="D361" s="154"/>
      <c r="E361" s="154"/>
    </row>
    <row r="362" spans="1:5">
      <c r="A362" s="154"/>
      <c r="B362" s="154"/>
      <c r="C362" s="154"/>
      <c r="D362" s="154"/>
      <c r="E362" s="154"/>
    </row>
    <row r="363" spans="1:5">
      <c r="A363" s="154"/>
      <c r="B363" s="154"/>
      <c r="C363" s="154"/>
      <c r="D363" s="154"/>
      <c r="E363" s="154"/>
    </row>
    <row r="364" spans="1:5">
      <c r="A364" s="154"/>
      <c r="B364" s="154"/>
      <c r="C364" s="154"/>
      <c r="D364" s="154"/>
      <c r="E364" s="154"/>
    </row>
    <row r="365" spans="1:5">
      <c r="A365" s="154"/>
      <c r="B365" s="154"/>
      <c r="C365" s="154"/>
      <c r="D365" s="154"/>
      <c r="E365" s="154"/>
    </row>
    <row r="366" spans="1:5">
      <c r="A366" s="154"/>
      <c r="B366" s="154"/>
      <c r="C366" s="154"/>
      <c r="D366" s="154"/>
      <c r="E366" s="154"/>
    </row>
    <row r="367" spans="1:5">
      <c r="A367" s="154"/>
      <c r="B367" s="154"/>
      <c r="C367" s="154"/>
      <c r="D367" s="154"/>
      <c r="E367" s="154"/>
    </row>
    <row r="368" spans="1:5">
      <c r="A368" s="154"/>
      <c r="B368" s="154"/>
      <c r="C368" s="154"/>
      <c r="D368" s="154"/>
      <c r="E368" s="154"/>
    </row>
    <row r="369" spans="1:5">
      <c r="A369" s="154"/>
      <c r="B369" s="154"/>
      <c r="C369" s="154"/>
      <c r="D369" s="154"/>
      <c r="E369" s="154"/>
    </row>
    <row r="370" spans="1:5">
      <c r="A370" s="154"/>
      <c r="B370" s="154"/>
      <c r="C370" s="154"/>
      <c r="D370" s="154"/>
      <c r="E370" s="154"/>
    </row>
    <row r="371" spans="1:5">
      <c r="A371" s="154"/>
      <c r="B371" s="154"/>
      <c r="C371" s="154"/>
      <c r="D371" s="154"/>
      <c r="E371" s="154"/>
    </row>
    <row r="372" spans="1:5">
      <c r="A372" s="154"/>
      <c r="B372" s="154"/>
      <c r="C372" s="154"/>
      <c r="D372" s="154"/>
      <c r="E372" s="154"/>
    </row>
    <row r="373" spans="1:5">
      <c r="A373" s="154"/>
      <c r="B373" s="154"/>
      <c r="C373" s="154"/>
      <c r="D373" s="154"/>
      <c r="E373" s="154"/>
    </row>
    <row r="374" spans="1:5">
      <c r="A374" s="154"/>
      <c r="B374" s="154"/>
      <c r="C374" s="154"/>
      <c r="D374" s="154"/>
      <c r="E374" s="154"/>
    </row>
    <row r="375" spans="1:5">
      <c r="A375" s="154"/>
      <c r="B375" s="154"/>
      <c r="C375" s="154"/>
      <c r="D375" s="154"/>
      <c r="E375" s="154"/>
    </row>
    <row r="376" spans="1:5">
      <c r="A376" s="154"/>
      <c r="B376" s="154"/>
      <c r="C376" s="154"/>
      <c r="D376" s="154"/>
      <c r="E376" s="154"/>
    </row>
  </sheetData>
  <customSheetViews>
    <customSheetView guid="{6DB0C51A-CF2E-4524-B123-6AE855E84E26}" state="hidden" topLeftCell="A307">
      <selection activeCell="M21" sqref="M21"/>
      <pageMargins left="0.7" right="0.7" top="0.5" bottom="0.5" header="0.05" footer="0.05"/>
      <pageSetup scale="65" orientation="portrait" r:id="rId1"/>
      <headerFooter>
        <oddHeader>&amp;CFixed Cost Centers</oddHeader>
      </headerFooter>
    </customSheetView>
    <customSheetView guid="{D9FD7722-CADB-4741-856E-53C9C7AFA1D2}" state="hidden" topLeftCell="A307">
      <selection activeCell="M21" sqref="M21"/>
      <pageMargins left="0.7" right="0.7" top="0.5" bottom="0.5" header="0.05" footer="0.05"/>
      <pageSetup scale="65" orientation="portrait" r:id="rId2"/>
      <headerFooter>
        <oddHeader>&amp;CFixed Cost Centers</oddHeader>
      </headerFooter>
    </customSheetView>
  </customSheetViews>
  <phoneticPr fontId="25" type="noConversion"/>
  <pageMargins left="0.7" right="0.7" top="0.5" bottom="0.5" header="0.05" footer="0.05"/>
  <pageSetup scale="65" orientation="portrait" r:id="rId3"/>
  <headerFooter>
    <oddHeader>&amp;CFixed Cost Centers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 enableFormatConditionsCalculation="0">
    <tabColor theme="3" tint="0.79998168889431442"/>
  </sheetPr>
  <dimension ref="A1:E59"/>
  <sheetViews>
    <sheetView topLeftCell="A4" workbookViewId="0">
      <selection activeCell="M21" sqref="M21"/>
    </sheetView>
  </sheetViews>
  <sheetFormatPr defaultRowHeight="12.75"/>
  <cols>
    <col min="1" max="1" width="15.140625" customWidth="1"/>
    <col min="2" max="2" width="21.7109375" customWidth="1"/>
    <col min="3" max="3" width="18.28515625" customWidth="1"/>
    <col min="4" max="4" width="15.140625" customWidth="1"/>
    <col min="5" max="5" width="14.7109375" customWidth="1"/>
  </cols>
  <sheetData>
    <row r="1" spans="1:5" ht="18">
      <c r="A1" s="114"/>
    </row>
    <row r="2" spans="1:5">
      <c r="A2" s="215" t="s">
        <v>16</v>
      </c>
      <c r="B2" s="215"/>
      <c r="C2" s="215"/>
      <c r="D2" s="215"/>
    </row>
    <row r="3" spans="1:5">
      <c r="A3" s="216" t="s">
        <v>5</v>
      </c>
      <c r="B3" s="216"/>
      <c r="C3" s="216"/>
      <c r="D3" s="216"/>
    </row>
    <row r="4" spans="1:5">
      <c r="A4" s="217" t="s">
        <v>4</v>
      </c>
      <c r="B4" s="217"/>
      <c r="C4" s="217"/>
      <c r="D4" s="217"/>
    </row>
    <row r="5" spans="1:5">
      <c r="A5" s="217" t="s">
        <v>92</v>
      </c>
      <c r="B5" s="217"/>
      <c r="C5" s="217"/>
      <c r="D5" s="217"/>
    </row>
    <row r="6" spans="1:5">
      <c r="A6" s="214" t="s">
        <v>7</v>
      </c>
      <c r="B6" s="214"/>
      <c r="C6" s="214"/>
      <c r="D6" s="214"/>
    </row>
    <row r="7" spans="1:5">
      <c r="A7" s="31"/>
      <c r="B7" s="31"/>
      <c r="C7" s="31"/>
      <c r="D7" s="31"/>
      <c r="E7" s="106" t="s">
        <v>94</v>
      </c>
    </row>
    <row r="8" spans="1:5">
      <c r="A8" s="102"/>
      <c r="B8" s="107" t="s">
        <v>20</v>
      </c>
      <c r="C8" s="107" t="s">
        <v>21</v>
      </c>
      <c r="D8" s="107" t="s">
        <v>1</v>
      </c>
      <c r="E8" s="106" t="s">
        <v>2</v>
      </c>
    </row>
    <row r="9" spans="1:5">
      <c r="B9" s="98">
        <v>2008</v>
      </c>
      <c r="C9" s="110" t="e">
        <f>#REF!</f>
        <v>#REF!</v>
      </c>
    </row>
    <row r="10" spans="1:5">
      <c r="B10" s="98">
        <v>2009</v>
      </c>
      <c r="C10" s="110" t="e">
        <f>#REF!</f>
        <v>#REF!</v>
      </c>
    </row>
    <row r="11" spans="1:5">
      <c r="B11" s="98">
        <v>2010</v>
      </c>
      <c r="C11" s="110" t="e">
        <f>#REF!</f>
        <v>#REF!</v>
      </c>
      <c r="D11" s="166" t="e">
        <f>C9+C10+C11</f>
        <v>#REF!</v>
      </c>
      <c r="E11" s="167">
        <v>2300000</v>
      </c>
    </row>
    <row r="12" spans="1:5">
      <c r="B12" s="158">
        <v>2011</v>
      </c>
      <c r="C12" s="110" t="e">
        <f>#REF!</f>
        <v>#REF!</v>
      </c>
      <c r="E12" s="96"/>
    </row>
    <row r="13" spans="1:5">
      <c r="B13" s="29"/>
      <c r="C13" s="111"/>
    </row>
    <row r="14" spans="1:5">
      <c r="C14" s="97"/>
    </row>
    <row r="15" spans="1:5">
      <c r="B15" s="16" t="s">
        <v>10</v>
      </c>
      <c r="C15" s="16" t="s">
        <v>59</v>
      </c>
    </row>
    <row r="16" spans="1:5">
      <c r="B16" s="109"/>
      <c r="C16" s="109" t="s">
        <v>9</v>
      </c>
    </row>
    <row r="17" spans="2:5">
      <c r="B17" s="162">
        <v>39448</v>
      </c>
      <c r="C17" s="163" t="e">
        <f t="shared" ref="C17:C27" si="0">$C$9/12</f>
        <v>#REF!</v>
      </c>
    </row>
    <row r="18" spans="2:5">
      <c r="B18" s="162">
        <v>39479</v>
      </c>
      <c r="C18" s="164" t="e">
        <f t="shared" si="0"/>
        <v>#REF!</v>
      </c>
    </row>
    <row r="19" spans="2:5">
      <c r="B19" s="162">
        <v>39508</v>
      </c>
      <c r="C19" s="164" t="e">
        <f t="shared" si="0"/>
        <v>#REF!</v>
      </c>
    </row>
    <row r="20" spans="2:5">
      <c r="B20" s="162">
        <v>39539</v>
      </c>
      <c r="C20" s="164" t="e">
        <f t="shared" si="0"/>
        <v>#REF!</v>
      </c>
    </row>
    <row r="21" spans="2:5">
      <c r="B21" s="162">
        <v>39569</v>
      </c>
      <c r="C21" s="164" t="e">
        <f t="shared" si="0"/>
        <v>#REF!</v>
      </c>
    </row>
    <row r="22" spans="2:5">
      <c r="B22" s="162">
        <v>39600</v>
      </c>
      <c r="C22" s="164" t="e">
        <f t="shared" si="0"/>
        <v>#REF!</v>
      </c>
      <c r="E22" s="90" t="e">
        <f>SUM(C17:C28)</f>
        <v>#REF!</v>
      </c>
    </row>
    <row r="23" spans="2:5">
      <c r="B23" s="162">
        <v>39630</v>
      </c>
      <c r="C23" s="164" t="e">
        <f t="shared" si="0"/>
        <v>#REF!</v>
      </c>
    </row>
    <row r="24" spans="2:5">
      <c r="B24" s="162">
        <v>39661</v>
      </c>
      <c r="C24" s="164" t="e">
        <f t="shared" si="0"/>
        <v>#REF!</v>
      </c>
    </row>
    <row r="25" spans="2:5">
      <c r="B25" s="162">
        <v>39692</v>
      </c>
      <c r="C25" s="164" t="e">
        <f t="shared" si="0"/>
        <v>#REF!</v>
      </c>
    </row>
    <row r="26" spans="2:5">
      <c r="B26" s="162">
        <v>39722</v>
      </c>
      <c r="C26" s="164" t="e">
        <f t="shared" si="0"/>
        <v>#REF!</v>
      </c>
    </row>
    <row r="27" spans="2:5">
      <c r="B27" s="162">
        <v>39753</v>
      </c>
      <c r="C27" s="164" t="e">
        <f t="shared" si="0"/>
        <v>#REF!</v>
      </c>
    </row>
    <row r="28" spans="2:5">
      <c r="B28" s="162">
        <v>39783</v>
      </c>
      <c r="C28" s="164" t="e">
        <f>$C$9/12</f>
        <v>#REF!</v>
      </c>
    </row>
    <row r="29" spans="2:5">
      <c r="B29" s="159">
        <v>39814</v>
      </c>
      <c r="C29" s="160" t="e">
        <f t="shared" ref="C29:C40" si="1">$C$10/12</f>
        <v>#REF!</v>
      </c>
    </row>
    <row r="30" spans="2:5">
      <c r="B30" s="159">
        <v>39845</v>
      </c>
      <c r="C30" s="160" t="e">
        <f t="shared" si="1"/>
        <v>#REF!</v>
      </c>
    </row>
    <row r="31" spans="2:5">
      <c r="B31" s="159">
        <v>39873</v>
      </c>
      <c r="C31" s="160" t="e">
        <f t="shared" si="1"/>
        <v>#REF!</v>
      </c>
    </row>
    <row r="32" spans="2:5">
      <c r="B32" s="159">
        <v>39904</v>
      </c>
      <c r="C32" s="160" t="e">
        <f t="shared" si="1"/>
        <v>#REF!</v>
      </c>
      <c r="E32" s="108"/>
    </row>
    <row r="33" spans="2:5">
      <c r="B33" s="159">
        <v>39934</v>
      </c>
      <c r="C33" s="160" t="e">
        <f t="shared" si="1"/>
        <v>#REF!</v>
      </c>
    </row>
    <row r="34" spans="2:5">
      <c r="B34" s="159">
        <v>39965</v>
      </c>
      <c r="C34" s="160" t="e">
        <f t="shared" si="1"/>
        <v>#REF!</v>
      </c>
    </row>
    <row r="35" spans="2:5">
      <c r="B35" s="159">
        <v>39995</v>
      </c>
      <c r="C35" s="160" t="e">
        <f t="shared" si="1"/>
        <v>#REF!</v>
      </c>
    </row>
    <row r="36" spans="2:5">
      <c r="B36" s="159">
        <v>40026</v>
      </c>
      <c r="C36" s="160" t="e">
        <f t="shared" si="1"/>
        <v>#REF!</v>
      </c>
    </row>
    <row r="37" spans="2:5">
      <c r="B37" s="159">
        <v>40057</v>
      </c>
      <c r="C37" s="160" t="e">
        <f t="shared" si="1"/>
        <v>#REF!</v>
      </c>
    </row>
    <row r="38" spans="2:5">
      <c r="B38" s="159">
        <v>40087</v>
      </c>
      <c r="C38" s="160" t="e">
        <f t="shared" si="1"/>
        <v>#REF!</v>
      </c>
    </row>
    <row r="39" spans="2:5">
      <c r="B39" s="159">
        <v>40118</v>
      </c>
      <c r="C39" s="160" t="e">
        <f t="shared" si="1"/>
        <v>#REF!</v>
      </c>
    </row>
    <row r="40" spans="2:5">
      <c r="B40" s="159">
        <v>40148</v>
      </c>
      <c r="C40" s="160" t="e">
        <f t="shared" si="1"/>
        <v>#REF!</v>
      </c>
    </row>
    <row r="41" spans="2:5">
      <c r="B41" s="159">
        <v>40179</v>
      </c>
      <c r="C41" s="160" t="e">
        <f>$C$11/12</f>
        <v>#REF!</v>
      </c>
    </row>
    <row r="42" spans="2:5">
      <c r="B42" s="159">
        <v>40210</v>
      </c>
      <c r="C42" s="160" t="e">
        <f t="shared" ref="C42:C52" si="2">$C$11/12</f>
        <v>#REF!</v>
      </c>
    </row>
    <row r="43" spans="2:5">
      <c r="B43" s="159">
        <v>40238</v>
      </c>
      <c r="C43" s="160" t="e">
        <f t="shared" si="2"/>
        <v>#REF!</v>
      </c>
    </row>
    <row r="44" spans="2:5">
      <c r="B44" s="159">
        <v>40269</v>
      </c>
      <c r="C44" s="160" t="e">
        <f t="shared" si="2"/>
        <v>#REF!</v>
      </c>
    </row>
    <row r="45" spans="2:5">
      <c r="B45" s="159">
        <v>40299</v>
      </c>
      <c r="C45" s="160" t="e">
        <f t="shared" si="2"/>
        <v>#REF!</v>
      </c>
    </row>
    <row r="46" spans="2:5">
      <c r="B46" s="159">
        <v>40330</v>
      </c>
      <c r="C46" s="160" t="e">
        <f t="shared" si="2"/>
        <v>#REF!</v>
      </c>
    </row>
    <row r="47" spans="2:5">
      <c r="B47" s="159">
        <v>40360</v>
      </c>
      <c r="C47" s="160" t="e">
        <f t="shared" si="2"/>
        <v>#REF!</v>
      </c>
    </row>
    <row r="48" spans="2:5">
      <c r="B48" s="159">
        <v>40391</v>
      </c>
      <c r="C48" s="160" t="e">
        <f t="shared" si="2"/>
        <v>#REF!</v>
      </c>
      <c r="E48" s="90"/>
    </row>
    <row r="49" spans="2:5">
      <c r="B49" s="159">
        <v>40422</v>
      </c>
      <c r="C49" s="160" t="e">
        <f t="shared" si="2"/>
        <v>#REF!</v>
      </c>
    </row>
    <row r="50" spans="2:5">
      <c r="B50" s="159">
        <v>40452</v>
      </c>
      <c r="C50" s="160" t="e">
        <f t="shared" si="2"/>
        <v>#REF!</v>
      </c>
    </row>
    <row r="51" spans="2:5">
      <c r="B51" s="159">
        <v>40483</v>
      </c>
      <c r="C51" s="160" t="e">
        <f t="shared" si="2"/>
        <v>#REF!</v>
      </c>
    </row>
    <row r="52" spans="2:5">
      <c r="B52" s="159">
        <v>40513</v>
      </c>
      <c r="C52" s="160" t="e">
        <f t="shared" si="2"/>
        <v>#REF!</v>
      </c>
    </row>
    <row r="53" spans="2:5">
      <c r="B53" s="159">
        <v>40544</v>
      </c>
      <c r="C53" s="160" t="e">
        <f>$C$12/12</f>
        <v>#REF!</v>
      </c>
    </row>
    <row r="54" spans="2:5">
      <c r="B54" s="159">
        <v>40575</v>
      </c>
      <c r="C54" s="160" t="e">
        <f>$C$12/12</f>
        <v>#REF!</v>
      </c>
    </row>
    <row r="55" spans="2:5">
      <c r="B55" s="159">
        <v>40603</v>
      </c>
      <c r="C55" s="160" t="e">
        <f>$C$12/12</f>
        <v>#REF!</v>
      </c>
    </row>
    <row r="56" spans="2:5">
      <c r="B56" s="159">
        <v>40634</v>
      </c>
      <c r="C56" s="160" t="e">
        <f>$C$12/12</f>
        <v>#REF!</v>
      </c>
    </row>
    <row r="57" spans="2:5">
      <c r="B57" s="161" t="s">
        <v>0</v>
      </c>
      <c r="C57" s="165" t="e">
        <f>E22</f>
        <v>#REF!</v>
      </c>
    </row>
    <row r="59" spans="2:5">
      <c r="E59" s="96"/>
    </row>
  </sheetData>
  <customSheetViews>
    <customSheetView guid="{6DB0C51A-CF2E-4524-B123-6AE855E84E26}" state="hidden" topLeftCell="A4">
      <selection activeCell="M21" sqref="M21"/>
      <pageMargins left="0.25" right="0.25" top="0.5" bottom="0.5" header="0.25" footer="0.25"/>
      <pageSetup scale="95" orientation="portrait" r:id="rId1"/>
      <headerFooter alignWithMargins="0"/>
    </customSheetView>
    <customSheetView guid="{D9FD7722-CADB-4741-856E-53C9C7AFA1D2}" state="hidden" topLeftCell="A4">
      <selection activeCell="M21" sqref="M21"/>
      <pageMargins left="0.25" right="0.25" top="0.5" bottom="0.5" header="0.25" footer="0.25"/>
      <pageSetup scale="95" orientation="portrait" r:id="rId2"/>
      <headerFooter alignWithMargins="0"/>
    </customSheetView>
  </customSheetViews>
  <mergeCells count="5">
    <mergeCell ref="A6:D6"/>
    <mergeCell ref="A2:D2"/>
    <mergeCell ref="A3:D3"/>
    <mergeCell ref="A4:D4"/>
    <mergeCell ref="A5:D5"/>
  </mergeCells>
  <phoneticPr fontId="6" type="noConversion"/>
  <pageMargins left="0.25" right="0.25" top="0.5" bottom="0.5" header="0.25" footer="0.25"/>
  <pageSetup scale="95" orientation="portrait" r:id="rId3"/>
  <headerFooter alignWithMargins="0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8"/>
  <sheetViews>
    <sheetView tabSelected="1" topLeftCell="D7" workbookViewId="0">
      <selection activeCell="I14" sqref="I14"/>
    </sheetView>
  </sheetViews>
  <sheetFormatPr defaultRowHeight="12.75"/>
  <cols>
    <col min="1" max="1" width="5.85546875" style="3" customWidth="1"/>
    <col min="2" max="2" width="68.5703125" style="3" customWidth="1"/>
    <col min="3" max="3" width="16" style="3" hidden="1" customWidth="1"/>
    <col min="4" max="4" width="7.28515625" style="3" customWidth="1"/>
    <col min="5" max="5" width="11" style="171" customWidth="1"/>
    <col min="6" max="6" width="12.28515625" style="171" customWidth="1"/>
    <col min="7" max="7" width="10" style="171" bestFit="1" customWidth="1"/>
    <col min="8" max="8" width="13.28515625" style="172" bestFit="1" customWidth="1"/>
    <col min="9" max="16384" width="9.140625" style="3"/>
  </cols>
  <sheetData>
    <row r="1" spans="1:8">
      <c r="A1" s="209" t="s">
        <v>935</v>
      </c>
      <c r="B1" s="209"/>
      <c r="C1" s="209"/>
      <c r="D1" s="206"/>
      <c r="F1" s="218" t="s">
        <v>942</v>
      </c>
      <c r="G1" s="218"/>
    </row>
    <row r="2" spans="1:8">
      <c r="A2" s="209" t="s">
        <v>936</v>
      </c>
      <c r="B2" s="209"/>
      <c r="C2" s="209"/>
      <c r="D2" s="206"/>
      <c r="F2" s="218" t="s">
        <v>939</v>
      </c>
      <c r="G2" s="218"/>
    </row>
    <row r="3" spans="1:8">
      <c r="A3" s="209" t="s">
        <v>937</v>
      </c>
      <c r="B3" s="209"/>
      <c r="C3" s="209"/>
      <c r="D3" s="206"/>
    </row>
    <row r="4" spans="1:8">
      <c r="A4" s="210"/>
      <c r="B4" s="210"/>
    </row>
    <row r="5" spans="1:8">
      <c r="A5" s="210" t="s">
        <v>940</v>
      </c>
      <c r="B5" s="211"/>
      <c r="C5" s="211"/>
      <c r="D5" s="211"/>
      <c r="E5" s="211"/>
      <c r="F5" s="211"/>
      <c r="G5" s="211"/>
      <c r="H5" s="211"/>
    </row>
    <row r="6" spans="1:8">
      <c r="A6" s="212" t="s">
        <v>944</v>
      </c>
      <c r="B6" s="213"/>
      <c r="C6" s="213"/>
      <c r="D6" s="213"/>
      <c r="E6" s="213"/>
      <c r="F6" s="213"/>
      <c r="G6" s="213"/>
      <c r="H6" s="213"/>
    </row>
    <row r="7" spans="1:8">
      <c r="A7" s="169"/>
      <c r="B7" s="169"/>
    </row>
    <row r="8" spans="1:8">
      <c r="A8" s="2"/>
      <c r="E8" s="190"/>
      <c r="F8" s="190"/>
      <c r="G8" s="190"/>
      <c r="H8" s="190"/>
    </row>
    <row r="9" spans="1:8">
      <c r="A9" s="169" t="s">
        <v>17</v>
      </c>
      <c r="B9" s="2"/>
      <c r="F9" s="10"/>
    </row>
    <row r="10" spans="1:8" s="193" customFormat="1" ht="25.5">
      <c r="A10" s="191" t="s">
        <v>18</v>
      </c>
      <c r="B10" s="192" t="s">
        <v>19</v>
      </c>
      <c r="E10" s="201" t="s">
        <v>93</v>
      </c>
      <c r="F10" s="191" t="s">
        <v>914</v>
      </c>
      <c r="G10" s="201" t="s">
        <v>913</v>
      </c>
      <c r="H10" s="202" t="s">
        <v>912</v>
      </c>
    </row>
    <row r="11" spans="1:8">
      <c r="A11" s="5"/>
      <c r="F11" s="5"/>
    </row>
    <row r="12" spans="1:8">
      <c r="A12" s="5">
        <v>1</v>
      </c>
      <c r="B12" s="12" t="s">
        <v>911</v>
      </c>
      <c r="F12" s="102"/>
    </row>
    <row r="13" spans="1:8">
      <c r="A13" s="5">
        <f>A12+1</f>
        <v>2</v>
      </c>
      <c r="B13" s="3" t="s">
        <v>915</v>
      </c>
      <c r="F13" s="3"/>
    </row>
    <row r="14" spans="1:8" ht="13.5">
      <c r="A14" s="5">
        <f t="shared" ref="A14:A34" si="0">A13+1</f>
        <v>3</v>
      </c>
      <c r="B14" s="99" t="s">
        <v>916</v>
      </c>
      <c r="E14" s="174">
        <v>92873</v>
      </c>
      <c r="F14" s="7">
        <v>557235</v>
      </c>
      <c r="G14" s="219">
        <v>557235</v>
      </c>
      <c r="H14" s="220">
        <f>G14-E14-1</f>
        <v>464361</v>
      </c>
    </row>
    <row r="15" spans="1:8" ht="13.5">
      <c r="A15" s="5">
        <f t="shared" si="0"/>
        <v>4</v>
      </c>
      <c r="B15" s="3" t="s">
        <v>917</v>
      </c>
      <c r="E15" s="11">
        <f>SUM(E14)</f>
        <v>92873</v>
      </c>
      <c r="F15" s="168">
        <f>SUM(F14)</f>
        <v>557235</v>
      </c>
      <c r="G15" s="221">
        <f>SUM(E15:F15)</f>
        <v>650108</v>
      </c>
      <c r="H15" s="222">
        <f>H14</f>
        <v>464361</v>
      </c>
    </row>
    <row r="16" spans="1:8">
      <c r="A16" s="5">
        <f t="shared" si="0"/>
        <v>5</v>
      </c>
      <c r="F16" s="3"/>
    </row>
    <row r="17" spans="1:8">
      <c r="A17" s="5">
        <f t="shared" si="0"/>
        <v>6</v>
      </c>
      <c r="E17" s="11"/>
      <c r="F17" s="5"/>
    </row>
    <row r="18" spans="1:8">
      <c r="A18" s="5">
        <f>A17+1</f>
        <v>7</v>
      </c>
      <c r="B18" s="12" t="s">
        <v>71</v>
      </c>
      <c r="E18" s="175"/>
      <c r="F18" s="170"/>
      <c r="G18" s="175"/>
      <c r="H18" s="176"/>
    </row>
    <row r="19" spans="1:8">
      <c r="A19" s="5">
        <f t="shared" si="0"/>
        <v>8</v>
      </c>
      <c r="B19" s="99" t="s">
        <v>918</v>
      </c>
      <c r="F19" s="3"/>
      <c r="H19" s="177"/>
    </row>
    <row r="20" spans="1:8">
      <c r="A20" s="5">
        <f t="shared" si="0"/>
        <v>9</v>
      </c>
      <c r="B20" s="99" t="s">
        <v>938</v>
      </c>
      <c r="E20" s="11">
        <v>1414931</v>
      </c>
      <c r="F20" s="100">
        <v>0</v>
      </c>
      <c r="G20" s="171">
        <v>0</v>
      </c>
      <c r="H20" s="177">
        <f>G20-E20</f>
        <v>-1414931</v>
      </c>
    </row>
    <row r="21" spans="1:8">
      <c r="A21" s="5">
        <f t="shared" si="0"/>
        <v>10</v>
      </c>
      <c r="B21" s="112" t="s">
        <v>923</v>
      </c>
      <c r="E21" s="181">
        <v>60713</v>
      </c>
      <c r="F21" s="6">
        <v>63718</v>
      </c>
      <c r="G21" s="171">
        <v>60713</v>
      </c>
      <c r="H21" s="177">
        <f t="shared" ref="H21:H27" si="1">G21-E21</f>
        <v>0</v>
      </c>
    </row>
    <row r="22" spans="1:8" s="5" customFormat="1">
      <c r="A22" s="5">
        <f t="shared" si="0"/>
        <v>11</v>
      </c>
      <c r="B22" s="112" t="s">
        <v>924</v>
      </c>
      <c r="E22" s="181">
        <v>13419246</v>
      </c>
      <c r="F22" s="6">
        <v>14114477</v>
      </c>
      <c r="G22" s="11">
        <v>13419246</v>
      </c>
      <c r="H22" s="177">
        <f t="shared" si="1"/>
        <v>0</v>
      </c>
    </row>
    <row r="23" spans="1:8" s="5" customFormat="1">
      <c r="A23" s="5">
        <f t="shared" si="0"/>
        <v>12</v>
      </c>
      <c r="B23" s="112" t="s">
        <v>925</v>
      </c>
      <c r="E23" s="181">
        <v>-1301</v>
      </c>
      <c r="F23" s="6">
        <v>0</v>
      </c>
      <c r="G23" s="11">
        <v>0</v>
      </c>
      <c r="H23" s="177">
        <f t="shared" si="1"/>
        <v>1301</v>
      </c>
    </row>
    <row r="24" spans="1:8" s="5" customFormat="1">
      <c r="A24" s="5">
        <f t="shared" si="0"/>
        <v>13</v>
      </c>
      <c r="B24" s="117" t="s">
        <v>926</v>
      </c>
      <c r="E24" s="181">
        <v>106062</v>
      </c>
      <c r="F24" s="6">
        <v>277205</v>
      </c>
      <c r="G24" s="11">
        <v>277205</v>
      </c>
      <c r="H24" s="177">
        <f t="shared" si="1"/>
        <v>171143</v>
      </c>
    </row>
    <row r="25" spans="1:8" s="5" customFormat="1">
      <c r="A25" s="5">
        <f t="shared" si="0"/>
        <v>14</v>
      </c>
      <c r="B25" s="117" t="s">
        <v>927</v>
      </c>
      <c r="E25" s="181">
        <v>888289</v>
      </c>
      <c r="F25" s="6">
        <v>1233184</v>
      </c>
      <c r="G25" s="11">
        <v>1233184</v>
      </c>
      <c r="H25" s="177">
        <f t="shared" si="1"/>
        <v>344895</v>
      </c>
    </row>
    <row r="26" spans="1:8" s="5" customFormat="1">
      <c r="A26" s="5">
        <f t="shared" si="0"/>
        <v>15</v>
      </c>
      <c r="B26" s="99" t="s">
        <v>928</v>
      </c>
      <c r="E26" s="182">
        <v>7193</v>
      </c>
      <c r="F26" s="6">
        <v>0</v>
      </c>
      <c r="G26" s="11">
        <v>0</v>
      </c>
      <c r="H26" s="177">
        <f t="shared" si="1"/>
        <v>-7193</v>
      </c>
    </row>
    <row r="27" spans="1:8" s="5" customFormat="1">
      <c r="A27" s="5">
        <f t="shared" si="0"/>
        <v>16</v>
      </c>
      <c r="B27" s="99" t="s">
        <v>929</v>
      </c>
      <c r="E27" s="182">
        <v>7394</v>
      </c>
      <c r="F27" s="6">
        <v>0</v>
      </c>
      <c r="G27" s="183">
        <v>0</v>
      </c>
      <c r="H27" s="195">
        <f t="shared" si="1"/>
        <v>-7394</v>
      </c>
    </row>
    <row r="28" spans="1:8" s="5" customFormat="1">
      <c r="A28" s="5">
        <f t="shared" si="0"/>
        <v>17</v>
      </c>
      <c r="B28" s="9" t="s">
        <v>931</v>
      </c>
      <c r="E28" s="184">
        <f>SUM(E20:E27)</f>
        <v>15902527</v>
      </c>
      <c r="F28" s="157">
        <f>SUM(F19:F27)</f>
        <v>15688584</v>
      </c>
      <c r="G28" s="11">
        <f>SUM(G20:G27)</f>
        <v>14990348</v>
      </c>
      <c r="H28" s="11">
        <f>SUM(H20:H27)</f>
        <v>-912179</v>
      </c>
    </row>
    <row r="29" spans="1:8" s="5" customFormat="1">
      <c r="A29" s="5">
        <f t="shared" si="0"/>
        <v>18</v>
      </c>
      <c r="B29" s="3"/>
      <c r="E29" s="11"/>
      <c r="F29" s="11"/>
      <c r="G29" s="11"/>
      <c r="H29" s="173"/>
    </row>
    <row r="30" spans="1:8">
      <c r="A30" s="5">
        <f t="shared" si="0"/>
        <v>19</v>
      </c>
      <c r="B30" s="8" t="s">
        <v>933</v>
      </c>
      <c r="H30" s="207">
        <f>-H15+H28</f>
        <v>-1376540</v>
      </c>
    </row>
    <row r="31" spans="1:8">
      <c r="A31" s="5">
        <f t="shared" si="0"/>
        <v>20</v>
      </c>
      <c r="B31" s="11" t="s">
        <v>932</v>
      </c>
      <c r="E31" s="185"/>
      <c r="F31" s="194">
        <v>0.35</v>
      </c>
      <c r="H31" s="207">
        <f>H30*-F31</f>
        <v>481788.99999999994</v>
      </c>
    </row>
    <row r="32" spans="1:8">
      <c r="A32" s="5">
        <f t="shared" si="0"/>
        <v>21</v>
      </c>
      <c r="E32" s="185"/>
      <c r="F32" s="185"/>
      <c r="H32" s="207"/>
    </row>
    <row r="33" spans="1:8">
      <c r="A33" s="5">
        <f t="shared" si="0"/>
        <v>22</v>
      </c>
      <c r="B33" s="104" t="s">
        <v>934</v>
      </c>
      <c r="E33" s="186"/>
      <c r="F33" s="186"/>
      <c r="H33" s="208">
        <f>-H30-H31</f>
        <v>894751</v>
      </c>
    </row>
    <row r="34" spans="1:8">
      <c r="A34" s="5">
        <f t="shared" si="0"/>
        <v>23</v>
      </c>
      <c r="E34" s="185"/>
      <c r="F34" s="185"/>
    </row>
    <row r="35" spans="1:8">
      <c r="A35" s="5"/>
      <c r="E35" s="185"/>
      <c r="F35" s="3"/>
    </row>
    <row r="36" spans="1:8">
      <c r="A36" s="5"/>
    </row>
    <row r="37" spans="1:8">
      <c r="A37" s="5"/>
      <c r="B37" s="103"/>
      <c r="H37" s="204"/>
    </row>
    <row r="38" spans="1:8">
      <c r="A38" s="4"/>
      <c r="B38" s="101"/>
    </row>
  </sheetData>
  <customSheetViews>
    <customSheetView guid="{6DB0C51A-CF2E-4524-B123-6AE855E84E26}" showPageBreaks="1" printArea="1" hiddenColumns="1" topLeftCell="D7">
      <selection activeCell="I14" sqref="I14"/>
      <pageMargins left="0.45" right="0.45" top="0.75" bottom="0.75" header="0.3" footer="0.3"/>
      <pageSetup orientation="landscape" r:id="rId1"/>
    </customSheetView>
    <customSheetView guid="{D9FD7722-CADB-4741-856E-53C9C7AFA1D2}" showPageBreaks="1" printArea="1" hiddenColumns="1">
      <selection activeCell="E4" sqref="E4"/>
      <pageMargins left="0.45" right="0.45" top="0.75" bottom="0.75" header="0.3" footer="0.3"/>
      <pageSetup orientation="landscape" r:id="rId2"/>
    </customSheetView>
  </customSheetViews>
  <mergeCells count="8">
    <mergeCell ref="A5:H5"/>
    <mergeCell ref="A6:H6"/>
    <mergeCell ref="A1:C1"/>
    <mergeCell ref="A2:C2"/>
    <mergeCell ref="A3:C3"/>
    <mergeCell ref="A4:B4"/>
    <mergeCell ref="F1:G1"/>
    <mergeCell ref="F2:G2"/>
  </mergeCells>
  <pageMargins left="0.45" right="0.45" top="0.75" bottom="0.75" header="0.3" footer="0.3"/>
  <pageSetup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2009-05-08T07:00:00+00:00</OpenedDate>
    <Date1 xmlns="dc463f71-b30c-4ab2-9473-d307f9d35888">2009-12-11T08:00:00+00:00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090704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CA42C26506CF14D82D0A72383FC3E88" ma:contentTypeVersion="131" ma:contentTypeDescription="" ma:contentTypeScope="" ma:versionID="900aaace43aad440889e194c92f720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3A21307-B516-4540-B2F1-CE00CF99BE1D}"/>
</file>

<file path=customXml/itemProps2.xml><?xml version="1.0" encoding="utf-8"?>
<ds:datastoreItem xmlns:ds="http://schemas.openxmlformats.org/officeDocument/2006/customXml" ds:itemID="{104EAEB5-B189-4D3A-BC08-ACF06E4AE19D}"/>
</file>

<file path=customXml/itemProps3.xml><?xml version="1.0" encoding="utf-8"?>
<ds:datastoreItem xmlns:ds="http://schemas.openxmlformats.org/officeDocument/2006/customXml" ds:itemID="{ADF18730-7A69-418A-A200-FB8B5F1EE711}"/>
</file>

<file path=customXml/itemProps4.xml><?xml version="1.0" encoding="utf-8"?>
<ds:datastoreItem xmlns:ds="http://schemas.openxmlformats.org/officeDocument/2006/customXml" ds:itemID="{8D67AF9E-14A4-4A08-B461-7BF992DF04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Exhibit 2</vt:lpstr>
      <vt:lpstr>REs.Exc.Pr</vt:lpstr>
      <vt:lpstr>Sheet3</vt:lpstr>
      <vt:lpstr>Deferred Tax - IRS</vt:lpstr>
      <vt:lpstr>CLS</vt:lpstr>
      <vt:lpstr>Bental Rent Analysis</vt:lpstr>
      <vt:lpstr>Report Fixed Cost Centers</vt:lpstr>
      <vt:lpstr>VegMgmt</vt:lpstr>
      <vt:lpstr>Exhibit 3</vt:lpstr>
      <vt:lpstr>'Exhibit 2'!Print_Area</vt:lpstr>
      <vt:lpstr>'Exhibit 3'!Print_Area</vt:lpstr>
    </vt:vector>
  </TitlesOfParts>
  <Company>Navigant Consulting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Cartwright</dc:creator>
  <cp:lastModifiedBy>Krista Gross</cp:lastModifiedBy>
  <cp:lastPrinted>2009-11-23T18:07:56Z</cp:lastPrinted>
  <dcterms:created xsi:type="dcterms:W3CDTF">2003-09-19T18:27:45Z</dcterms:created>
  <dcterms:modified xsi:type="dcterms:W3CDTF">2009-11-23T18:08:01Z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0x0101006E56B4D1795A2E4DB2F0B01679ED314A007CA42C26506CF14D82D0A72383FC3E88</vt:lpwstr>
  </property>
  <property fmtid="{D5CDD505-2E9C-101B-9397-08002B2CF9AE}" pid="3" name="_docset_NoMedatataSyncRequired">
    <vt:lpwstr>False</vt:lpwstr>
  </property>
</Properties>
</file>