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4520" windowHeight="11700"/>
  </bookViews>
  <sheets>
    <sheet name="KJB-16 p.1" sheetId="1" r:id="rId1"/>
    <sheet name="KJB-16 p.2" sheetId="2" r:id="rId2"/>
  </sheets>
  <externalReferences>
    <externalReference r:id="rId3"/>
  </externalReferences>
  <definedNames>
    <definedName name="_Order1">255</definedName>
    <definedName name="_Order2">255</definedName>
    <definedName name="AccessDatabase">"I:\COMTREL\FINICLE\TradeSummary.mdb"</definedName>
    <definedName name="Case_Name">'[1]KJB-6,13 Cmn Adj'!$B$8</definedName>
    <definedName name="k_A_1" localSheetId="1">'KJB-16 p.2'!$A$1:$G$45</definedName>
    <definedName name="k_Docket_Number">'[1]KJB-12 Sum'!$AS$2</definedName>
    <definedName name="k_FITrate">'[1]KJB-3,11 Def'!$L$20</definedName>
    <definedName name="keep_TESTYEAR">'[1]KJB-6,13 Cmn Adj'!$B$7</definedName>
    <definedName name="_xlnm.Print_Area" localSheetId="0">'KJB-16 p.1'!$A$1:$H$29</definedName>
    <definedName name="_xlnm.Print_Area" localSheetId="1">'KJB-16 p.2'!$A$1:$G$46</definedName>
  </definedNames>
  <calcPr calcId="145621"/>
</workbook>
</file>

<file path=xl/calcChain.xml><?xml version="1.0" encoding="utf-8"?>
<calcChain xmlns="http://schemas.openxmlformats.org/spreadsheetml/2006/main">
  <c r="C8" i="2" l="1"/>
  <c r="C13" i="2"/>
  <c r="D13" i="2" s="1"/>
  <c r="D14" i="2"/>
  <c r="G14" i="2"/>
  <c r="G36" i="2" s="1"/>
  <c r="G42" i="2" s="1"/>
  <c r="C15" i="2"/>
  <c r="F15" i="2" s="1"/>
  <c r="C16" i="2"/>
  <c r="D16" i="2"/>
  <c r="F16" i="2"/>
  <c r="D17" i="2"/>
  <c r="G17" i="2"/>
  <c r="D18" i="2"/>
  <c r="G18" i="2"/>
  <c r="D19" i="2"/>
  <c r="F19" i="2"/>
  <c r="D20" i="2"/>
  <c r="F20" i="2"/>
  <c r="D21" i="2"/>
  <c r="F21" i="2"/>
  <c r="D22" i="2"/>
  <c r="G22" i="2"/>
  <c r="D23" i="2"/>
  <c r="F23" i="2"/>
  <c r="D24" i="2"/>
  <c r="G24" i="2"/>
  <c r="D25" i="2"/>
  <c r="G25" i="2"/>
  <c r="D26" i="2"/>
  <c r="G26" i="2"/>
  <c r="D27" i="2"/>
  <c r="F27" i="2"/>
  <c r="D28" i="2"/>
  <c r="F28" i="2"/>
  <c r="D29" i="2"/>
  <c r="G29" i="2"/>
  <c r="D30" i="2"/>
  <c r="G30" i="2"/>
  <c r="D31" i="2"/>
  <c r="F31" i="2"/>
  <c r="D32" i="2"/>
  <c r="F32" i="2"/>
  <c r="D33" i="2"/>
  <c r="F33" i="2"/>
  <c r="D34" i="2"/>
  <c r="F34" i="2"/>
  <c r="D37" i="2"/>
  <c r="F37" i="2"/>
  <c r="G37" i="2" s="1"/>
  <c r="D15" i="2" l="1"/>
  <c r="F13" i="2"/>
  <c r="F36" i="2" s="1"/>
  <c r="F42" i="2" s="1"/>
  <c r="D42" i="2" s="1"/>
  <c r="D36" i="2"/>
  <c r="D38" i="2" s="1"/>
  <c r="C36" i="2"/>
  <c r="G38" i="2"/>
  <c r="G43" i="2" s="1"/>
  <c r="C38" i="2" l="1"/>
  <c r="F38" i="2"/>
  <c r="F43" i="2" s="1"/>
  <c r="D43" i="2" s="1"/>
  <c r="F20" i="1" l="1"/>
  <c r="A34" i="2" l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16" i="1"/>
  <c r="A17" i="1" s="1"/>
  <c r="F17" i="1"/>
  <c r="D15" i="1"/>
  <c r="A15" i="1"/>
  <c r="D18" i="1" l="1"/>
  <c r="G22" i="1" s="1"/>
  <c r="B20" i="1"/>
  <c r="A18" i="1"/>
  <c r="A19" i="1" s="1"/>
  <c r="A20" i="1" s="1"/>
  <c r="A21" i="1" s="1"/>
  <c r="A22" i="1" s="1"/>
  <c r="A23" i="1" s="1"/>
  <c r="A24" i="1" s="1"/>
  <c r="D14" i="1" l="1"/>
  <c r="D17" i="1" s="1"/>
  <c r="D20" i="1" s="1"/>
  <c r="G20" i="1" s="1"/>
  <c r="G24" i="1" s="1"/>
</calcChain>
</file>

<file path=xl/sharedStrings.xml><?xml version="1.0" encoding="utf-8"?>
<sst xmlns="http://schemas.openxmlformats.org/spreadsheetml/2006/main" count="113" uniqueCount="84">
  <si>
    <t>Revenue Deficiency Calculation</t>
  </si>
  <si>
    <t>Puget Sound Energy</t>
  </si>
  <si>
    <t>REVENUE (SURPLUS) / DEFICIENCY</t>
  </si>
  <si>
    <t>2017 GRC Contingent Calculation Without Microsoft Compared to 2017 GRC Supplemental</t>
  </si>
  <si>
    <t>From KJB-15</t>
  </si>
  <si>
    <t>17GRC Cont Calc</t>
  </si>
  <si>
    <t>17GRC SUPP</t>
  </si>
  <si>
    <t>TY</t>
  </si>
  <si>
    <t xml:space="preserve">12MOE Sept 2016  </t>
  </si>
  <si>
    <t>(Surplus)/</t>
  </si>
  <si>
    <t>Row</t>
  </si>
  <si>
    <t>RY</t>
  </si>
  <si>
    <t>Jan - Dec 2018</t>
  </si>
  <si>
    <t>Deficiency</t>
  </si>
  <si>
    <t>Subtotal &amp; Baseline Rate - Variable Only</t>
  </si>
  <si>
    <t xml:space="preserve"> </t>
  </si>
  <si>
    <t>Revenue Sensitive Items ("RSI")</t>
  </si>
  <si>
    <t>Subtotal &amp; Baseline Rate Variable Only Grossed-up</t>
  </si>
  <si>
    <t>for Revenue Sensitive Items</t>
  </si>
  <si>
    <t>Test Year DELIVERED Load (MWH's)</t>
  </si>
  <si>
    <t>Test Year Delivered Load without Microsoft</t>
  </si>
  <si>
    <t>PROFORMA SCHEDULE 95 INCREASE:</t>
  </si>
  <si>
    <t>Exhibit A-1 Power Cost Baseline Rate (WITHOUT MICROSOFT)</t>
  </si>
  <si>
    <t>2017 GRC</t>
  </si>
  <si>
    <t xml:space="preserve">Test Year </t>
  </si>
  <si>
    <t>Regulatory Assets (1) (Fixed)</t>
  </si>
  <si>
    <t>Transmission Rate Base (Fixed)</t>
  </si>
  <si>
    <t>Production Rate Base (Fixed)</t>
  </si>
  <si>
    <t>Net of tax rate of return</t>
  </si>
  <si>
    <t xml:space="preserve">Fixed </t>
  </si>
  <si>
    <t xml:space="preserve">Variable </t>
  </si>
  <si>
    <t>Test Yr</t>
  </si>
  <si>
    <t>Prod Cost</t>
  </si>
  <si>
    <t>$/MWh</t>
  </si>
  <si>
    <t>F/V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</si>
  <si>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</si>
  <si>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</si>
  <si>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</si>
  <si>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</si>
  <si>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</si>
  <si>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</si>
  <si>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</si>
  <si>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</si>
  <si>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Recovery (on Row 3)</t>
  </si>
  <si>
    <t>F</t>
  </si>
  <si>
    <t>10a</t>
  </si>
  <si>
    <t>Equity Adder Centralia Coal Transition PPA</t>
  </si>
  <si>
    <t>V</t>
  </si>
  <si>
    <t>Fixed Asset Recovery Other (on Row 4)</t>
  </si>
  <si>
    <t>Fixed Asset Recovery-Prod Factored (on Row 5)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</si>
  <si>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</si>
  <si>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</si>
  <si>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</si>
  <si>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</si>
  <si>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</si>
  <si>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</si>
  <si>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</si>
  <si>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</si>
  <si>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</si>
  <si>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</si>
  <si>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55700003</t>
  </si>
  <si>
    <t>Transmission Revenue 456.1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</si>
  <si>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</si>
  <si>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</si>
  <si>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</si>
  <si>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</si>
  <si>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</si>
  <si>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</si>
  <si>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N/A (formerly hedging line of credit)</t>
  </si>
  <si>
    <t>Subtotal &amp; Baseline Rate</t>
  </si>
  <si>
    <t>Revenue Sensitive Items</t>
  </si>
  <si>
    <t>Grossed up for RSI</t>
  </si>
  <si>
    <t xml:space="preserve"> &lt;-- includes Firm Wholesale</t>
  </si>
  <si>
    <t>Total</t>
  </si>
  <si>
    <t>Variable</t>
  </si>
  <si>
    <t>Baseline Rate Summarized</t>
  </si>
  <si>
    <t>BLR Net of RSI</t>
  </si>
  <si>
    <t>(1) - Amortization is picked up in Regulatory Assets and Liabilities Adjustment and White River Adjustment.</t>
  </si>
  <si>
    <t>Note:  Amounts in bold and italics are different from the Supplemental filing.</t>
  </si>
  <si>
    <r>
      <t xml:space="preserve">501-Steam Fuel </t>
    </r>
    <r>
      <rPr>
        <sz val="9"/>
        <color rgb="FFFF0000"/>
        <rFont val="Times New Roman"/>
        <family val="1"/>
      </rPr>
      <t>Incl PC Reg Amort</t>
    </r>
  </si>
  <si>
    <r>
      <t xml:space="preserve">555-Purchased power </t>
    </r>
    <r>
      <rPr>
        <sz val="9"/>
        <color rgb="FFFF0000"/>
        <rFont val="Times New Roman"/>
        <family val="1"/>
      </rPr>
      <t>Incl PC Reg Amort</t>
    </r>
  </si>
  <si>
    <r>
      <t xml:space="preserve">547-Fuel </t>
    </r>
    <r>
      <rPr>
        <sz val="9"/>
        <color rgb="FFFF0000"/>
        <rFont val="Times New Roman"/>
        <family val="1"/>
      </rPr>
      <t>Incl PC Reg Amort</t>
    </r>
  </si>
  <si>
    <r>
      <t xml:space="preserve">565-Wheeling </t>
    </r>
    <r>
      <rPr>
        <sz val="9"/>
        <color rgb="FFFF0000"/>
        <rFont val="Times New Roman"/>
        <family val="1"/>
      </rPr>
      <t>Incl PC Reg Amort</t>
    </r>
  </si>
  <si>
    <r>
      <t xml:space="preserve">Amortization  - Regulatory Assets &amp; Liab - </t>
    </r>
    <r>
      <rPr>
        <sz val="9"/>
        <color rgb="FFFF0000"/>
        <rFont val="Times New Roman"/>
        <family val="1"/>
      </rPr>
      <t>Non PC Only</t>
    </r>
    <r>
      <rPr>
        <sz val="9"/>
        <rFont val="Times New Roman"/>
        <family val="1"/>
      </rPr>
      <t xml:space="preserve"> 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</si>
</sst>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.0000000_);_(* \(#,##0.0000000\);_(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0.000%"/>
    <numFmt numFmtId="170" formatCode="_(* #,##0.000000_);_(* \(#,##0.000000\);_(* &quot;-&quot;??_);_(@_)"/>
  </numFmts>
  <fonts count="22" x14ac:knownFonts="1">
    <font>
      <sz val="8"/>
      <name val="Helv"/>
    </font>
    <font>
      <sz val="10"/>
      <name val="Arial"/>
      <family val="2"/>
    </font>
    <font>
      <b/>
      <i/>
      <sz val="10"/>
      <color rgb="FF0000FF"/>
      <name val="Times New Roman"/>
      <family val="1"/>
    </font>
    <font>
      <b/>
      <sz val="10"/>
      <name val="Times New Roman"/>
      <family val="1"/>
    </font>
    <font>
      <sz val="8"/>
      <name val="Helv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0000FF"/>
      <name val="Times New Roman"/>
      <family val="1"/>
    </font>
    <font>
      <i/>
      <sz val="10"/>
      <name val="Times New Roman"/>
      <family val="1"/>
    </font>
    <font>
      <i/>
      <sz val="10"/>
      <color rgb="FF0000FF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  <font>
      <b/>
      <sz val="14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rgb="FF0000FF"/>
      <name val="Times New Roman"/>
      <family val="1"/>
    </font>
    <font>
      <sz val="9"/>
      <color rgb="FFFF0000"/>
      <name val="Times New Roman"/>
      <family val="1"/>
    </font>
    <font>
      <sz val="9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164" fontId="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</cellStyleXfs>
  <cellXfs count="125">
    <xf numFmtId="164" fontId="0" fillId="0" borderId="0" xfId="0">
      <alignment horizontal="left" wrapText="1"/>
    </xf>
    <xf numFmtId="0" fontId="3" fillId="0" borderId="0" xfId="0" applyNumberFormat="1" applyFont="1" applyFill="1" applyAlignment="1">
      <alignment horizontal="right"/>
    </xf>
    <xf numFmtId="164" fontId="2" fillId="0" borderId="0" xfId="0" applyFont="1" applyFill="1" applyBorder="1" applyAlignment="1"/>
    <xf numFmtId="164" fontId="5" fillId="0" borderId="1" xfId="0" applyFont="1" applyFill="1" applyBorder="1" applyAlignment="1"/>
    <xf numFmtId="164" fontId="6" fillId="0" borderId="2" xfId="0" quotePrefix="1" applyFont="1" applyFill="1" applyBorder="1" applyAlignment="1">
      <alignment horizontal="left"/>
    </xf>
    <xf numFmtId="164" fontId="5" fillId="0" borderId="2" xfId="0" applyFont="1" applyFill="1" applyBorder="1" applyAlignment="1"/>
    <xf numFmtId="164" fontId="5" fillId="0" borderId="3" xfId="0" applyFont="1" applyFill="1" applyBorder="1" applyAlignment="1"/>
    <xf numFmtId="164" fontId="5" fillId="0" borderId="0" xfId="0" applyFont="1" applyFill="1" applyAlignment="1"/>
    <xf numFmtId="164" fontId="5" fillId="0" borderId="0" xfId="0" applyFont="1" applyAlignment="1"/>
    <xf numFmtId="164" fontId="6" fillId="0" borderId="4" xfId="0" applyFont="1" applyFill="1" applyBorder="1" applyAlignment="1">
      <alignment horizontal="centerContinuous"/>
    </xf>
    <xf numFmtId="164" fontId="6" fillId="0" borderId="0" xfId="0" applyFont="1" applyFill="1" applyBorder="1" applyAlignment="1">
      <alignment horizontal="centerContinuous"/>
    </xf>
    <xf numFmtId="164" fontId="6" fillId="0" borderId="5" xfId="0" applyFont="1" applyFill="1" applyBorder="1" applyAlignment="1">
      <alignment horizontal="centerContinuous"/>
    </xf>
    <xf numFmtId="164" fontId="6" fillId="0" borderId="0" xfId="0" quotePrefix="1" applyFont="1" applyFill="1" applyBorder="1" applyAlignment="1">
      <alignment horizontal="centerContinuous"/>
    </xf>
    <xf numFmtId="164" fontId="3" fillId="0" borderId="0" xfId="0" applyFont="1" applyFill="1" applyBorder="1" applyAlignment="1">
      <alignment horizontal="right"/>
    </xf>
    <xf numFmtId="164" fontId="6" fillId="0" borderId="5" xfId="0" applyFont="1" applyFill="1" applyBorder="1" applyAlignment="1">
      <alignment horizontal="left"/>
    </xf>
    <xf numFmtId="164" fontId="5" fillId="0" borderId="0" xfId="0" applyFont="1" applyFill="1" applyAlignment="1">
      <alignment horizontal="left"/>
    </xf>
    <xf numFmtId="164" fontId="5" fillId="0" borderId="4" xfId="0" applyFont="1" applyFill="1" applyBorder="1" applyAlignment="1"/>
    <xf numFmtId="164" fontId="3" fillId="0" borderId="0" xfId="0" applyFont="1" applyFill="1" applyBorder="1" applyAlignment="1"/>
    <xf numFmtId="164" fontId="5" fillId="0" borderId="0" xfId="0" applyFont="1" applyFill="1" applyBorder="1" applyAlignment="1"/>
    <xf numFmtId="164" fontId="5" fillId="0" borderId="5" xfId="0" applyFont="1" applyFill="1" applyBorder="1" applyAlignment="1"/>
    <xf numFmtId="164" fontId="3" fillId="0" borderId="0" xfId="0" quotePrefix="1" applyFont="1" applyFill="1" applyBorder="1" applyAlignment="1">
      <alignment horizontal="left"/>
    </xf>
    <xf numFmtId="164" fontId="6" fillId="0" borderId="0" xfId="0" applyFont="1" applyFill="1" applyBorder="1" applyAlignment="1">
      <alignment horizontal="left"/>
    </xf>
    <xf numFmtId="164" fontId="5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center"/>
    </xf>
    <xf numFmtId="164" fontId="5" fillId="0" borderId="6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right"/>
    </xf>
    <xf numFmtId="16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 wrapText="1"/>
    </xf>
    <xf numFmtId="164" fontId="9" fillId="0" borderId="0" xfId="0" applyFont="1" applyFill="1" applyAlignment="1"/>
    <xf numFmtId="164" fontId="5" fillId="0" borderId="7" xfId="0" applyFont="1" applyFill="1" applyBorder="1" applyAlignment="1">
      <alignment horizontal="center"/>
    </xf>
    <xf numFmtId="164" fontId="5" fillId="0" borderId="8" xfId="0" applyFont="1" applyFill="1" applyBorder="1" applyAlignment="1">
      <alignment horizontal="right"/>
    </xf>
    <xf numFmtId="164" fontId="5" fillId="0" borderId="8" xfId="0" applyFont="1" applyFill="1" applyBorder="1" applyAlignment="1"/>
    <xf numFmtId="164" fontId="5" fillId="0" borderId="8" xfId="0" quotePrefix="1" applyFont="1" applyFill="1" applyBorder="1" applyAlignment="1">
      <alignment horizontal="center"/>
    </xf>
    <xf numFmtId="164" fontId="5" fillId="0" borderId="8" xfId="0" applyFont="1" applyFill="1" applyBorder="1" applyAlignment="1">
      <alignment horizontal="center"/>
    </xf>
    <xf numFmtId="164" fontId="5" fillId="0" borderId="9" xfId="0" applyFont="1" applyFill="1" applyBorder="1" applyAlignment="1"/>
    <xf numFmtId="0" fontId="5" fillId="0" borderId="4" xfId="0" applyNumberFormat="1" applyFont="1" applyFill="1" applyBorder="1" applyAlignment="1">
      <alignment horizontal="center"/>
    </xf>
    <xf numFmtId="165" fontId="5" fillId="0" borderId="0" xfId="1" applyNumberFormat="1" applyFont="1" applyFill="1" applyBorder="1"/>
    <xf numFmtId="166" fontId="5" fillId="0" borderId="8" xfId="2" applyNumberFormat="1" applyFont="1" applyFill="1" applyBorder="1"/>
    <xf numFmtId="166" fontId="5" fillId="0" borderId="0" xfId="2" applyNumberFormat="1" applyFont="1" applyFill="1" applyBorder="1"/>
    <xf numFmtId="164" fontId="5" fillId="0" borderId="0" xfId="0" applyFont="1" applyFill="1" applyBorder="1" applyAlignment="1">
      <alignment horizontal="left" indent="1"/>
    </xf>
    <xf numFmtId="167" fontId="5" fillId="0" borderId="0" xfId="2" applyNumberFormat="1" applyFont="1" applyFill="1" applyBorder="1"/>
    <xf numFmtId="41" fontId="5" fillId="0" borderId="0" xfId="1" applyNumberFormat="1" applyFont="1" applyFill="1" applyBorder="1"/>
    <xf numFmtId="41" fontId="5" fillId="0" borderId="0" xfId="0" applyNumberFormat="1" applyFont="1" applyFill="1" applyBorder="1" applyAlignment="1"/>
    <xf numFmtId="43" fontId="5" fillId="0" borderId="0" xfId="0" applyNumberFormat="1" applyFont="1" applyFill="1" applyBorder="1" applyAlignment="1"/>
    <xf numFmtId="168" fontId="5" fillId="0" borderId="0" xfId="1" applyNumberFormat="1" applyFont="1" applyFill="1" applyBorder="1"/>
    <xf numFmtId="0" fontId="5" fillId="0" borderId="0" xfId="3" quotePrefix="1" applyNumberFormat="1" applyFont="1" applyFill="1" applyBorder="1" applyAlignment="1">
      <alignment horizontal="left"/>
    </xf>
    <xf numFmtId="165" fontId="5" fillId="0" borderId="6" xfId="1" applyNumberFormat="1" applyFont="1" applyFill="1" applyBorder="1"/>
    <xf numFmtId="0" fontId="5" fillId="0" borderId="0" xfId="3" applyNumberFormat="1" applyFont="1" applyFill="1" applyBorder="1" applyAlignment="1">
      <alignment horizontal="left"/>
    </xf>
    <xf numFmtId="164" fontId="5" fillId="0" borderId="10" xfId="0" applyFont="1" applyFill="1" applyBorder="1" applyAlignment="1">
      <alignment horizontal="center"/>
    </xf>
    <xf numFmtId="164" fontId="5" fillId="0" borderId="11" xfId="0" applyFont="1" applyFill="1" applyBorder="1" applyAlignment="1"/>
    <xf numFmtId="164" fontId="5" fillId="0" borderId="12" xfId="0" applyFont="1" applyFill="1" applyBorder="1" applyAlignment="1"/>
    <xf numFmtId="164" fontId="10" fillId="0" borderId="0" xfId="0" applyFont="1" applyFill="1" applyAlignment="1">
      <alignment horizontal="left"/>
    </xf>
    <xf numFmtId="164" fontId="2" fillId="0" borderId="0" xfId="0" applyFont="1" applyFill="1" applyAlignment="1">
      <alignment horizontal="left"/>
    </xf>
    <xf numFmtId="165" fontId="5" fillId="0" borderId="0" xfId="0" applyNumberFormat="1" applyFont="1" applyFill="1" applyAlignment="1"/>
    <xf numFmtId="170" fontId="5" fillId="0" borderId="0" xfId="0" applyNumberFormat="1" applyFont="1" applyFill="1" applyAlignment="1"/>
    <xf numFmtId="170" fontId="9" fillId="0" borderId="0" xfId="0" applyNumberFormat="1" applyFont="1" applyFill="1" applyAlignment="1"/>
    <xf numFmtId="0" fontId="3" fillId="0" borderId="2" xfId="0" applyNumberFormat="1" applyFont="1" applyFill="1" applyBorder="1" applyAlignment="1">
      <alignment horizontal="right"/>
    </xf>
    <xf numFmtId="164" fontId="7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164" fontId="8" fillId="0" borderId="0" xfId="0" applyFont="1" applyFill="1" applyBorder="1" applyAlignment="1">
      <alignment horizontal="right"/>
    </xf>
    <xf numFmtId="164" fontId="5" fillId="0" borderId="0" xfId="0" applyFont="1" applyBorder="1" applyAlignment="1"/>
    <xf numFmtId="169" fontId="5" fillId="0" borderId="0" xfId="4" applyNumberFormat="1" applyFont="1" applyBorder="1"/>
    <xf numFmtId="0" fontId="11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0" fontId="12" fillId="0" borderId="0" xfId="0" applyNumberFormat="1" applyFont="1" applyAlignment="1"/>
    <xf numFmtId="0" fontId="12" fillId="0" borderId="0" xfId="0" applyNumberFormat="1" applyFont="1" applyFill="1" applyAlignment="1"/>
    <xf numFmtId="164" fontId="13" fillId="0" borderId="0" xfId="0" applyFont="1">
      <alignment horizontal="left" wrapText="1"/>
    </xf>
    <xf numFmtId="164" fontId="14" fillId="0" borderId="0" xfId="0" applyFont="1" applyFill="1" applyAlignment="1">
      <alignment horizontal="left"/>
    </xf>
    <xf numFmtId="0" fontId="7" fillId="0" borderId="0" xfId="0" applyNumberFormat="1" applyFont="1" applyFill="1" applyAlignment="1"/>
    <xf numFmtId="0" fontId="3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center"/>
    </xf>
    <xf numFmtId="0" fontId="15" fillId="0" borderId="0" xfId="0" quotePrefix="1" applyNumberFormat="1" applyFont="1" applyFill="1" applyAlignment="1">
      <alignment horizontal="left"/>
    </xf>
    <xf numFmtId="0" fontId="16" fillId="0" borderId="0" xfId="0" applyNumberFormat="1" applyFont="1" applyFill="1" applyBorder="1" applyAlignment="1">
      <alignment horizontal="center"/>
    </xf>
    <xf numFmtId="0" fontId="17" fillId="0" borderId="0" xfId="0" applyNumberFormat="1" applyFont="1" applyAlignment="1"/>
    <xf numFmtId="0" fontId="15" fillId="0" borderId="0" xfId="0" applyNumberFormat="1" applyFont="1" applyFill="1" applyAlignment="1">
      <alignment horizontal="left"/>
    </xf>
    <xf numFmtId="165" fontId="15" fillId="0" borderId="0" xfId="0" applyNumberFormat="1" applyFont="1" applyFill="1" applyBorder="1" applyAlignment="1"/>
    <xf numFmtId="167" fontId="15" fillId="0" borderId="0" xfId="0" applyNumberFormat="1" applyFont="1" applyFill="1" applyAlignment="1">
      <alignment horizontal="right"/>
    </xf>
    <xf numFmtId="167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Alignment="1"/>
    <xf numFmtId="165" fontId="15" fillId="0" borderId="13" xfId="0" applyNumberFormat="1" applyFont="1" applyFill="1" applyBorder="1" applyAlignment="1">
      <alignment horizontal="right"/>
    </xf>
    <xf numFmtId="0" fontId="17" fillId="0" borderId="0" xfId="0" applyNumberFormat="1" applyFont="1" applyFill="1" applyAlignment="1"/>
    <xf numFmtId="0" fontId="18" fillId="0" borderId="0" xfId="0" applyNumberFormat="1" applyFont="1" applyFill="1" applyAlignment="1">
      <alignment horizontal="center"/>
    </xf>
    <xf numFmtId="10" fontId="17" fillId="0" borderId="0" xfId="0" applyNumberFormat="1" applyFont="1" applyAlignment="1"/>
    <xf numFmtId="43" fontId="17" fillId="0" borderId="0" xfId="0" applyNumberFormat="1" applyFont="1" applyFill="1" applyAlignment="1">
      <alignment horizontal="right"/>
    </xf>
    <xf numFmtId="165" fontId="15" fillId="0" borderId="0" xfId="0" applyNumberFormat="1" applyFont="1" applyFill="1" applyAlignment="1">
      <alignment horizontal="left"/>
    </xf>
    <xf numFmtId="0" fontId="16" fillId="0" borderId="0" xfId="0" applyNumberFormat="1" applyFont="1" applyFill="1" applyAlignment="1">
      <alignment horizontal="center"/>
    </xf>
    <xf numFmtId="43" fontId="15" fillId="0" borderId="0" xfId="0" applyNumberFormat="1" applyFont="1" applyFill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168" fontId="15" fillId="0" borderId="0" xfId="0" applyNumberFormat="1" applyFont="1" applyFill="1" applyBorder="1" applyAlignment="1"/>
    <xf numFmtId="167" fontId="16" fillId="0" borderId="0" xfId="0" applyNumberFormat="1" applyFont="1" applyFill="1" applyAlignment="1">
      <alignment horizontal="center"/>
    </xf>
    <xf numFmtId="165" fontId="15" fillId="0" borderId="0" xfId="0" applyNumberFormat="1" applyFont="1" applyBorder="1" applyAlignment="1"/>
    <xf numFmtId="165" fontId="17" fillId="0" borderId="0" xfId="0" applyNumberFormat="1" applyFont="1" applyAlignment="1"/>
    <xf numFmtId="167" fontId="19" fillId="0" borderId="0" xfId="0" applyNumberFormat="1" applyFont="1" applyFill="1" applyAlignment="1">
      <alignment horizontal="right"/>
    </xf>
    <xf numFmtId="168" fontId="19" fillId="0" borderId="0" xfId="0" applyNumberFormat="1" applyFont="1" applyFill="1" applyBorder="1" applyAlignment="1"/>
    <xf numFmtId="0" fontId="17" fillId="0" borderId="0" xfId="0" applyNumberFormat="1" applyFont="1" applyBorder="1" applyAlignment="1"/>
    <xf numFmtId="167" fontId="19" fillId="0" borderId="0" xfId="0" applyNumberFormat="1" applyFont="1" applyAlignment="1"/>
    <xf numFmtId="167" fontId="15" fillId="0" borderId="0" xfId="5" applyNumberFormat="1" applyFont="1" applyFill="1" applyBorder="1" applyAlignment="1"/>
    <xf numFmtId="167" fontId="17" fillId="0" borderId="0" xfId="0" applyNumberFormat="1" applyFont="1" applyBorder="1" applyAlignment="1"/>
    <xf numFmtId="167" fontId="15" fillId="0" borderId="0" xfId="0" applyNumberFormat="1" applyFont="1" applyBorder="1" applyAlignment="1"/>
    <xf numFmtId="0" fontId="15" fillId="0" borderId="0" xfId="0" applyNumberFormat="1" applyFont="1" applyFill="1" applyBorder="1" applyAlignment="1">
      <alignment horizontal="left" indent="1"/>
    </xf>
    <xf numFmtId="0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 vertical="top"/>
    </xf>
    <xf numFmtId="0" fontId="15" fillId="0" borderId="0" xfId="0" quotePrefix="1" applyNumberFormat="1" applyFont="1" applyFill="1" applyBorder="1" applyAlignment="1">
      <alignment horizontal="left"/>
    </xf>
    <xf numFmtId="0" fontId="18" fillId="0" borderId="0" xfId="0" applyNumberFormat="1" applyFont="1" applyAlignment="1"/>
    <xf numFmtId="0" fontId="17" fillId="0" borderId="0" xfId="0" applyNumberFormat="1" applyFont="1" applyFill="1" applyBorder="1" applyAlignment="1"/>
    <xf numFmtId="0" fontId="15" fillId="0" borderId="0" xfId="0" applyNumberFormat="1" applyFont="1" applyFill="1" applyAlignment="1">
      <alignment horizontal="left" vertical="center" indent="1"/>
    </xf>
    <xf numFmtId="165" fontId="19" fillId="0" borderId="13" xfId="0" applyNumberFormat="1" applyFont="1" applyFill="1" applyBorder="1" applyAlignment="1"/>
    <xf numFmtId="168" fontId="19" fillId="0" borderId="13" xfId="0" applyNumberFormat="1" applyFont="1" applyBorder="1" applyAlignment="1"/>
    <xf numFmtId="168" fontId="17" fillId="0" borderId="13" xfId="0" applyNumberFormat="1" applyFont="1" applyBorder="1" applyAlignment="1"/>
    <xf numFmtId="165" fontId="15" fillId="0" borderId="13" xfId="0" applyNumberFormat="1" applyFont="1" applyFill="1" applyBorder="1" applyAlignment="1"/>
    <xf numFmtId="166" fontId="15" fillId="0" borderId="0" xfId="0" applyNumberFormat="1" applyFont="1" applyFill="1" applyAlignment="1">
      <alignment horizontal="right"/>
    </xf>
    <xf numFmtId="166" fontId="17" fillId="0" borderId="0" xfId="0" applyNumberFormat="1" applyFont="1" applyAlignment="1"/>
    <xf numFmtId="167" fontId="19" fillId="0" borderId="0" xfId="0" applyNumberFormat="1" applyFont="1" applyFill="1" applyBorder="1" applyAlignment="1"/>
    <xf numFmtId="167" fontId="15" fillId="0" borderId="0" xfId="6" applyNumberFormat="1" applyFont="1" applyFill="1" applyBorder="1"/>
    <xf numFmtId="0" fontId="19" fillId="0" borderId="0" xfId="0" applyNumberFormat="1" applyFont="1" applyAlignment="1"/>
    <xf numFmtId="0" fontId="21" fillId="0" borderId="0" xfId="0" applyNumberFormat="1" applyFont="1" applyFill="1" applyAlignment="1">
      <alignment horizontal="left"/>
    </xf>
    <xf numFmtId="0" fontId="17" fillId="0" borderId="0" xfId="0" applyNumberFormat="1" applyFont="1" applyAlignment="1">
      <alignment horizontal="center" wrapText="1"/>
    </xf>
    <xf numFmtId="168" fontId="19" fillId="0" borderId="0" xfId="0" applyNumberFormat="1" applyFont="1" applyBorder="1" applyAlignment="1"/>
    <xf numFmtId="168" fontId="17" fillId="0" borderId="0" xfId="0" applyNumberFormat="1" applyFont="1" applyBorder="1" applyAlignment="1"/>
    <xf numFmtId="168" fontId="15" fillId="0" borderId="0" xfId="0" applyNumberFormat="1" applyFont="1" applyBorder="1" applyAlignment="1"/>
    <xf numFmtId="0" fontId="15" fillId="0" borderId="0" xfId="0" applyNumberFormat="1" applyFont="1" applyAlignment="1"/>
    <xf numFmtId="0" fontId="13" fillId="0" borderId="0" xfId="0" applyNumberFormat="1" applyFont="1" applyFill="1" applyAlignment="1"/>
  </cellXfs>
  <cellStyles count="7">
    <cellStyle name="Comma" xfId="5" builtinId="3"/>
    <cellStyle name="Comma 10" xfId="2"/>
    <cellStyle name="Comma 10 2 2 3" xfId="6"/>
    <cellStyle name="Currency 10" xfId="1"/>
    <cellStyle name="Currency 10 3 4" xfId="3"/>
    <cellStyle name="Normal" xfId="0" builtinId="0"/>
    <cellStyle name="Percent [2]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Contingent%20Calc%20-%20SUPP%202017%20GRC%20Workpapers/%23Electric%20Model%202017%20GRC%20CONT%20CALCULATION%20(SUP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12 Sum"/>
      <sheetName val="KJB-6,13 Cmn Adj"/>
      <sheetName val="KJB-7,14 El Adj"/>
      <sheetName val="Power Cost Bridge to A-1"/>
      <sheetName val="KJB-16 No MS Def"/>
      <sheetName val="KJB-16 No MS BLR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PKW RY PC1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20">
          <cell r="L20">
            <v>0.35</v>
          </cell>
        </row>
      </sheetData>
      <sheetData sheetId="3">
        <row r="2">
          <cell r="AS2" t="str">
            <v>Exhibit No.___(KJB-4)</v>
          </cell>
        </row>
      </sheetData>
      <sheetData sheetId="4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view="pageBreakPreview" zoomScale="60" zoomScaleNormal="100" workbookViewId="0">
      <selection activeCell="B24" sqref="B24"/>
    </sheetView>
  </sheetViews>
  <sheetFormatPr defaultColWidth="9.1640625" defaultRowHeight="12.75" x14ac:dyDescent="0.2"/>
  <cols>
    <col min="1" max="1" width="5.1640625" style="8" customWidth="1"/>
    <col min="2" max="2" width="45.33203125" style="8" customWidth="1"/>
    <col min="3" max="3" width="1.83203125" style="8" customWidth="1"/>
    <col min="4" max="4" width="19" style="8" customWidth="1"/>
    <col min="5" max="5" width="1.6640625" style="8" customWidth="1"/>
    <col min="6" max="6" width="18" style="8" customWidth="1"/>
    <col min="7" max="7" width="17.5" style="8" bestFit="1" customWidth="1"/>
    <col min="8" max="8" width="1.1640625" style="8" customWidth="1"/>
    <col min="9" max="9" width="1" style="8" customWidth="1"/>
    <col min="10" max="10" width="9.1640625" style="8"/>
    <col min="11" max="11" width="11.83203125" style="8" bestFit="1" customWidth="1"/>
    <col min="12" max="16384" width="9.1640625" style="8"/>
  </cols>
  <sheetData>
    <row r="1" spans="1:11" ht="13.5" x14ac:dyDescent="0.25">
      <c r="A1" s="3"/>
      <c r="B1" s="4"/>
      <c r="C1" s="5"/>
      <c r="D1" s="5"/>
      <c r="E1" s="5"/>
      <c r="F1" s="5"/>
      <c r="G1" s="57"/>
      <c r="H1" s="6"/>
      <c r="I1" s="7"/>
      <c r="J1" s="7"/>
      <c r="K1" s="7"/>
    </row>
    <row r="2" spans="1:11" ht="15.75" x14ac:dyDescent="0.25">
      <c r="A2" s="9"/>
      <c r="B2" s="58"/>
      <c r="C2" s="10"/>
      <c r="D2" s="10"/>
      <c r="E2" s="10"/>
      <c r="F2" s="10"/>
      <c r="G2" s="59"/>
      <c r="H2" s="11"/>
      <c r="I2" s="7"/>
      <c r="J2" s="7"/>
      <c r="K2" s="7"/>
    </row>
    <row r="3" spans="1:11" ht="13.5" x14ac:dyDescent="0.25">
      <c r="A3" s="9"/>
      <c r="B3" s="12"/>
      <c r="C3" s="10"/>
      <c r="D3" s="10"/>
      <c r="E3" s="10"/>
      <c r="F3" s="10"/>
      <c r="G3" s="60"/>
      <c r="H3" s="11"/>
      <c r="I3" s="7"/>
      <c r="J3" s="7"/>
      <c r="K3" s="7"/>
    </row>
    <row r="4" spans="1:11" ht="13.5" x14ac:dyDescent="0.25">
      <c r="A4" s="9"/>
      <c r="B4" s="12"/>
      <c r="C4" s="10"/>
      <c r="D4" s="10"/>
      <c r="E4" s="10"/>
      <c r="F4" s="10"/>
      <c r="G4" s="13" t="s">
        <v>0</v>
      </c>
      <c r="H4" s="14"/>
      <c r="I4" s="15"/>
      <c r="J4" s="7"/>
      <c r="K4" s="7"/>
    </row>
    <row r="5" spans="1:11" x14ac:dyDescent="0.2">
      <c r="A5" s="16"/>
      <c r="B5" s="17" t="s">
        <v>1</v>
      </c>
      <c r="C5" s="18"/>
      <c r="D5" s="18"/>
      <c r="E5" s="18"/>
      <c r="F5" s="18"/>
      <c r="G5" s="18"/>
      <c r="H5" s="19"/>
      <c r="I5" s="7"/>
      <c r="J5" s="7"/>
      <c r="K5" s="7"/>
    </row>
    <row r="6" spans="1:11" ht="15" customHeight="1" x14ac:dyDescent="0.2">
      <c r="A6" s="16"/>
      <c r="B6" s="17" t="s">
        <v>2</v>
      </c>
      <c r="C6" s="18"/>
      <c r="D6" s="18"/>
      <c r="E6" s="18"/>
      <c r="F6" s="18"/>
      <c r="G6" s="18"/>
      <c r="H6" s="19"/>
      <c r="I6" s="7"/>
      <c r="J6" s="7"/>
      <c r="K6" s="7"/>
    </row>
    <row r="7" spans="1:11" x14ac:dyDescent="0.2">
      <c r="A7" s="16"/>
      <c r="B7" s="20" t="s">
        <v>3</v>
      </c>
      <c r="C7" s="18"/>
      <c r="D7" s="18"/>
      <c r="E7" s="18"/>
      <c r="F7" s="18"/>
      <c r="G7" s="18"/>
      <c r="H7" s="19"/>
      <c r="I7" s="7"/>
      <c r="J7" s="7"/>
      <c r="K7" s="7"/>
    </row>
    <row r="8" spans="1:11" ht="13.5" x14ac:dyDescent="0.25">
      <c r="A8" s="16"/>
      <c r="B8" s="21"/>
      <c r="C8" s="18"/>
      <c r="D8" s="18"/>
      <c r="E8" s="18"/>
      <c r="F8" s="18"/>
      <c r="G8" s="18"/>
      <c r="H8" s="19"/>
      <c r="I8" s="7"/>
      <c r="J8" s="7"/>
      <c r="K8" s="7"/>
    </row>
    <row r="9" spans="1:11" ht="21" customHeight="1" x14ac:dyDescent="0.2">
      <c r="A9" s="16"/>
      <c r="B9" s="22"/>
      <c r="C9" s="18"/>
      <c r="D9" s="18"/>
      <c r="E9" s="18"/>
      <c r="F9" s="23" t="s">
        <v>4</v>
      </c>
      <c r="G9" s="18"/>
      <c r="H9" s="19"/>
      <c r="I9" s="7"/>
      <c r="J9" s="7"/>
      <c r="K9" s="7"/>
    </row>
    <row r="10" spans="1:11" ht="15" customHeight="1" x14ac:dyDescent="0.2">
      <c r="A10" s="16"/>
      <c r="B10" s="22"/>
      <c r="C10" s="18"/>
      <c r="D10" s="24" t="s">
        <v>5</v>
      </c>
      <c r="E10" s="18"/>
      <c r="F10" s="24" t="s">
        <v>6</v>
      </c>
      <c r="G10" s="25"/>
      <c r="H10" s="19"/>
      <c r="I10" s="7"/>
      <c r="J10" s="7"/>
      <c r="K10" s="7"/>
    </row>
    <row r="11" spans="1:11" ht="15" customHeight="1" x14ac:dyDescent="0.2">
      <c r="A11" s="16"/>
      <c r="B11" s="26" t="s">
        <v>7</v>
      </c>
      <c r="C11" s="18"/>
      <c r="D11" s="27" t="s">
        <v>8</v>
      </c>
      <c r="E11" s="25"/>
      <c r="F11" s="27" t="s">
        <v>8</v>
      </c>
      <c r="G11" s="28" t="s">
        <v>9</v>
      </c>
      <c r="H11" s="19"/>
      <c r="I11" s="7"/>
      <c r="J11" s="29"/>
      <c r="K11" s="7"/>
    </row>
    <row r="12" spans="1:11" ht="15" customHeight="1" x14ac:dyDescent="0.2">
      <c r="A12" s="30" t="s">
        <v>10</v>
      </c>
      <c r="B12" s="31" t="s">
        <v>11</v>
      </c>
      <c r="C12" s="32"/>
      <c r="D12" s="33" t="s">
        <v>12</v>
      </c>
      <c r="E12" s="34"/>
      <c r="F12" s="33" t="s">
        <v>12</v>
      </c>
      <c r="G12" s="34" t="s">
        <v>13</v>
      </c>
      <c r="H12" s="35"/>
      <c r="I12" s="7"/>
      <c r="J12" s="29"/>
      <c r="K12" s="7"/>
    </row>
    <row r="13" spans="1:11" ht="15" customHeight="1" x14ac:dyDescent="0.2">
      <c r="A13" s="16"/>
      <c r="B13" s="18"/>
      <c r="C13" s="18"/>
      <c r="D13" s="18"/>
      <c r="E13" s="18"/>
      <c r="F13" s="18"/>
      <c r="G13" s="18"/>
      <c r="H13" s="19"/>
      <c r="I13" s="7"/>
      <c r="J13" s="29"/>
      <c r="K13" s="7"/>
    </row>
    <row r="14" spans="1:11" ht="15" customHeight="1" x14ac:dyDescent="0.2">
      <c r="A14" s="36">
        <v>1</v>
      </c>
      <c r="B14" s="18" t="s">
        <v>14</v>
      </c>
      <c r="C14" s="18"/>
      <c r="D14" s="37">
        <f>'KJB-16 p.2'!G36</f>
        <v>692034928.38087094</v>
      </c>
      <c r="E14" s="18"/>
      <c r="F14" s="37">
        <v>704812723.81800044</v>
      </c>
      <c r="G14" s="37" t="s">
        <v>15</v>
      </c>
      <c r="H14" s="19"/>
      <c r="I14" s="7"/>
      <c r="J14" s="29"/>
      <c r="K14" s="7"/>
    </row>
    <row r="15" spans="1:11" ht="15" customHeight="1" x14ac:dyDescent="0.2">
      <c r="A15" s="36">
        <f>+A14+1</f>
        <v>2</v>
      </c>
      <c r="B15" s="18" t="s">
        <v>16</v>
      </c>
      <c r="C15" s="18"/>
      <c r="D15" s="38">
        <f>+'KJB-16 p.2'!C37</f>
        <v>0.95238599999999995</v>
      </c>
      <c r="E15" s="18"/>
      <c r="F15" s="38">
        <v>0.95238599999999995</v>
      </c>
      <c r="G15" s="39"/>
      <c r="H15" s="19"/>
      <c r="I15" s="7"/>
      <c r="J15" s="29"/>
      <c r="K15" s="7"/>
    </row>
    <row r="16" spans="1:11" ht="15" customHeight="1" x14ac:dyDescent="0.2">
      <c r="A16" s="36">
        <f t="shared" ref="A16:A24" si="0">+A15+1</f>
        <v>3</v>
      </c>
      <c r="B16" s="18" t="s">
        <v>17</v>
      </c>
      <c r="C16" s="18"/>
      <c r="D16" s="18"/>
      <c r="E16" s="18"/>
      <c r="F16" s="18"/>
      <c r="G16" s="37" t="s">
        <v>15</v>
      </c>
      <c r="H16" s="19"/>
      <c r="I16" s="7"/>
      <c r="J16" s="29"/>
      <c r="K16" s="7"/>
    </row>
    <row r="17" spans="1:11" ht="15" customHeight="1" x14ac:dyDescent="0.2">
      <c r="A17" s="36">
        <f t="shared" si="0"/>
        <v>4</v>
      </c>
      <c r="B17" s="40" t="s">
        <v>18</v>
      </c>
      <c r="C17" s="18"/>
      <c r="D17" s="41">
        <f>+ROUND(D14/D15,0)</f>
        <v>726632824</v>
      </c>
      <c r="E17" s="18"/>
      <c r="F17" s="41">
        <f>+ROUND(F14/F15,0)</f>
        <v>740049438</v>
      </c>
      <c r="G17" s="37"/>
      <c r="H17" s="19"/>
      <c r="I17" s="7"/>
      <c r="J17" s="29"/>
      <c r="K17" s="7"/>
    </row>
    <row r="18" spans="1:11" ht="15" customHeight="1" x14ac:dyDescent="0.2">
      <c r="A18" s="36">
        <f t="shared" si="0"/>
        <v>5</v>
      </c>
      <c r="B18" s="18" t="s">
        <v>19</v>
      </c>
      <c r="C18" s="18"/>
      <c r="D18" s="42">
        <f>+'KJB-16 p.2'!C39</f>
        <v>20282959</v>
      </c>
      <c r="E18" s="43"/>
      <c r="F18" s="42">
        <v>20723206</v>
      </c>
      <c r="G18" s="44" t="s">
        <v>15</v>
      </c>
      <c r="H18" s="19"/>
      <c r="I18" s="7"/>
      <c r="J18" s="29"/>
      <c r="K18" s="7"/>
    </row>
    <row r="19" spans="1:11" ht="15" customHeight="1" x14ac:dyDescent="0.2">
      <c r="A19" s="36">
        <f t="shared" si="0"/>
        <v>6</v>
      </c>
      <c r="B19" s="18"/>
      <c r="C19" s="18"/>
      <c r="D19" s="42"/>
      <c r="E19" s="43"/>
      <c r="F19" s="42"/>
      <c r="G19" s="44"/>
      <c r="H19" s="19"/>
      <c r="I19" s="7"/>
      <c r="J19" s="29"/>
      <c r="K19" s="7"/>
    </row>
    <row r="20" spans="1:11" ht="15" customHeight="1" x14ac:dyDescent="0.2">
      <c r="A20" s="36">
        <f t="shared" si="0"/>
        <v>7</v>
      </c>
      <c r="B20" s="18" t="str">
        <f>"Gross Baseline per MWH (Line "&amp;A17&amp;" / Line "&amp;A18&amp;")"</f>
        <v>Gross Baseline per MWH (Line 4 / Line 5)</v>
      </c>
      <c r="C20" s="18"/>
      <c r="D20" s="45">
        <f>ROUND(+D17/D18,3)</f>
        <v>35.825000000000003</v>
      </c>
      <c r="E20" s="43"/>
      <c r="F20" s="45">
        <f>ROUND(+F17/F18,3)</f>
        <v>35.710999999999999</v>
      </c>
      <c r="G20" s="45">
        <f>+D20-F20</f>
        <v>0.11400000000000432</v>
      </c>
      <c r="H20" s="19"/>
      <c r="I20" s="7"/>
      <c r="J20" s="29"/>
      <c r="K20" s="7"/>
    </row>
    <row r="21" spans="1:11" ht="15" customHeight="1" x14ac:dyDescent="0.2">
      <c r="A21" s="36">
        <f t="shared" si="0"/>
        <v>8</v>
      </c>
      <c r="B21" s="18"/>
      <c r="C21" s="18"/>
      <c r="D21" s="45"/>
      <c r="E21" s="43"/>
      <c r="F21" s="45"/>
      <c r="G21" s="45"/>
      <c r="H21" s="19"/>
      <c r="I21" s="7"/>
      <c r="J21" s="29"/>
      <c r="K21" s="7"/>
    </row>
    <row r="22" spans="1:11" ht="15" customHeight="1" x14ac:dyDescent="0.2">
      <c r="A22" s="36">
        <f t="shared" si="0"/>
        <v>9</v>
      </c>
      <c r="B22" s="46" t="s">
        <v>20</v>
      </c>
      <c r="C22" s="18"/>
      <c r="D22" s="61"/>
      <c r="E22" s="18"/>
      <c r="F22" s="42"/>
      <c r="G22" s="41">
        <f>+D18</f>
        <v>20282959</v>
      </c>
      <c r="H22" s="19"/>
      <c r="I22" s="7"/>
      <c r="J22" s="29"/>
      <c r="K22" s="7"/>
    </row>
    <row r="23" spans="1:11" ht="15" customHeight="1" x14ac:dyDescent="0.2">
      <c r="A23" s="36">
        <f t="shared" si="0"/>
        <v>10</v>
      </c>
      <c r="B23" s="46"/>
      <c r="C23" s="18"/>
      <c r="D23" s="61"/>
      <c r="E23" s="18"/>
      <c r="F23" s="42"/>
      <c r="G23" s="41"/>
      <c r="H23" s="19"/>
      <c r="I23" s="7"/>
      <c r="J23" s="29"/>
      <c r="K23" s="7"/>
    </row>
    <row r="24" spans="1:11" ht="15" customHeight="1" x14ac:dyDescent="0.2">
      <c r="A24" s="36">
        <f t="shared" si="0"/>
        <v>11</v>
      </c>
      <c r="B24" s="18" t="s">
        <v>21</v>
      </c>
      <c r="C24" s="18"/>
      <c r="D24" s="61"/>
      <c r="E24" s="18"/>
      <c r="F24" s="42"/>
      <c r="G24" s="47">
        <f>+G20*G22</f>
        <v>2312257.3260000874</v>
      </c>
      <c r="H24" s="19"/>
      <c r="I24" s="7"/>
      <c r="J24" s="29"/>
      <c r="K24" s="7"/>
    </row>
    <row r="25" spans="1:11" x14ac:dyDescent="0.2">
      <c r="A25" s="36"/>
      <c r="B25" s="18"/>
      <c r="C25" s="18"/>
      <c r="D25" s="61"/>
      <c r="E25" s="18"/>
      <c r="F25" s="42"/>
      <c r="G25" s="37"/>
      <c r="H25" s="19"/>
      <c r="I25" s="7"/>
      <c r="J25" s="29"/>
      <c r="K25" s="7"/>
    </row>
    <row r="26" spans="1:11" x14ac:dyDescent="0.2">
      <c r="A26" s="36"/>
      <c r="B26" s="48"/>
      <c r="C26" s="18"/>
      <c r="D26" s="61"/>
      <c r="E26" s="18"/>
      <c r="F26" s="42"/>
      <c r="G26" s="37"/>
      <c r="H26" s="19"/>
      <c r="I26" s="7"/>
      <c r="J26" s="29"/>
      <c r="K26" s="7"/>
    </row>
    <row r="27" spans="1:11" x14ac:dyDescent="0.2">
      <c r="A27" s="36"/>
      <c r="B27" s="48"/>
      <c r="C27" s="18"/>
      <c r="D27" s="61"/>
      <c r="E27" s="18"/>
      <c r="F27" s="42"/>
      <c r="G27" s="37"/>
      <c r="H27" s="19"/>
      <c r="I27" s="7"/>
      <c r="J27" s="29"/>
      <c r="K27" s="7"/>
    </row>
    <row r="28" spans="1:11" x14ac:dyDescent="0.2">
      <c r="A28" s="36"/>
      <c r="B28" s="48"/>
      <c r="C28" s="18"/>
      <c r="D28" s="61"/>
      <c r="E28" s="18"/>
      <c r="F28" s="42"/>
      <c r="G28" s="62"/>
      <c r="H28" s="19"/>
      <c r="I28" s="7"/>
      <c r="J28" s="29"/>
      <c r="K28" s="7"/>
    </row>
    <row r="29" spans="1:11" ht="13.5" thickBot="1" x14ac:dyDescent="0.25">
      <c r="A29" s="49"/>
      <c r="B29" s="50"/>
      <c r="C29" s="50"/>
      <c r="D29" s="50"/>
      <c r="E29" s="50"/>
      <c r="F29" s="50"/>
      <c r="G29" s="50"/>
      <c r="H29" s="51"/>
      <c r="I29" s="7"/>
      <c r="J29" s="29"/>
      <c r="K29" s="7"/>
    </row>
    <row r="30" spans="1:11" x14ac:dyDescent="0.2">
      <c r="A30" s="29"/>
      <c r="B30" s="22"/>
      <c r="C30" s="18"/>
      <c r="D30" s="18"/>
      <c r="E30" s="18"/>
      <c r="F30" s="18"/>
      <c r="G30" s="18"/>
      <c r="H30" s="18"/>
      <c r="I30" s="7"/>
      <c r="J30" s="29"/>
      <c r="K30" s="7"/>
    </row>
    <row r="31" spans="1:11" ht="13.5" x14ac:dyDescent="0.25">
      <c r="A31" s="52"/>
      <c r="B31" s="53"/>
      <c r="C31" s="53"/>
      <c r="D31" s="53"/>
      <c r="E31" s="53"/>
      <c r="F31" s="53"/>
      <c r="G31" s="54"/>
      <c r="H31" s="7"/>
      <c r="I31" s="7"/>
      <c r="J31" s="29"/>
      <c r="K31" s="7"/>
    </row>
    <row r="32" spans="1:11" x14ac:dyDescent="0.2">
      <c r="A32" s="29"/>
      <c r="B32" s="7"/>
      <c r="C32" s="7"/>
      <c r="D32" s="55"/>
      <c r="E32" s="7"/>
      <c r="F32" s="45"/>
      <c r="G32" s="7"/>
      <c r="H32" s="7"/>
      <c r="I32" s="7"/>
      <c r="J32" s="29"/>
      <c r="K32" s="7"/>
    </row>
    <row r="33" spans="1:11" x14ac:dyDescent="0.2">
      <c r="A33" s="29"/>
      <c r="B33" s="29"/>
      <c r="C33" s="29"/>
      <c r="D33" s="56"/>
      <c r="E33" s="29"/>
      <c r="F33" s="29"/>
      <c r="G33" s="29"/>
      <c r="H33" s="29"/>
      <c r="I33" s="29"/>
      <c r="J33" s="29"/>
      <c r="K33" s="7"/>
    </row>
    <row r="34" spans="1:11" x14ac:dyDescent="0.2">
      <c r="A34" s="7"/>
      <c r="B34" s="7"/>
      <c r="C34" s="7"/>
      <c r="D34" s="55"/>
      <c r="E34" s="7"/>
      <c r="F34" s="7"/>
      <c r="G34" s="7"/>
      <c r="H34" s="7"/>
      <c r="I34" s="7"/>
      <c r="J34" s="7"/>
      <c r="K34" s="7"/>
    </row>
  </sheetData>
  <mergeCells count="1">
    <mergeCell ref="B31:F31"/>
  </mergeCells>
  <pageMargins left="1" right="1" top="1" bottom="1" header="0.5" footer="0.5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2"/>
  <sheetViews>
    <sheetView view="pageBreakPreview" zoomScale="90" zoomScaleNormal="100" zoomScaleSheetLayoutView="90" workbookViewId="0">
      <pane xSplit="3" ySplit="12" topLeftCell="D13" activePane="bottomRight" state="frozen"/>
      <selection activeCell="G23" sqref="G23"/>
      <selection pane="topRight" activeCell="G23" sqref="G23"/>
      <selection pane="bottomLeft" activeCell="G23" sqref="G23"/>
      <selection pane="bottomRight" activeCell="D6" sqref="D6"/>
    </sheetView>
  </sheetViews>
  <sheetFormatPr defaultColWidth="9.33203125" defaultRowHeight="15" x14ac:dyDescent="0.25"/>
  <cols>
    <col min="1" max="1" width="6.6640625" style="66" customWidth="1"/>
    <col min="2" max="2" width="47.83203125" style="66" customWidth="1"/>
    <col min="3" max="3" width="18.6640625" style="66" bestFit="1" customWidth="1"/>
    <col min="4" max="4" width="12.6640625" style="66" customWidth="1"/>
    <col min="5" max="5" width="5.1640625" style="66" bestFit="1" customWidth="1"/>
    <col min="6" max="6" width="15.83203125" style="66" customWidth="1"/>
    <col min="7" max="7" width="17.6640625" style="66" customWidth="1"/>
    <col min="8" max="8" width="14.33203125" style="67" bestFit="1" customWidth="1"/>
    <col min="9" max="10" width="9.33203125" style="67"/>
    <col min="11" max="11" width="14.5" style="67" bestFit="1" customWidth="1"/>
    <col min="12" max="18" width="9.33203125" style="67"/>
    <col min="19" max="19" width="14.5" style="67" bestFit="1" customWidth="1"/>
    <col min="20" max="21" width="9.33203125" style="67"/>
    <col min="22" max="22" width="13.1640625" style="67" bestFit="1" customWidth="1"/>
    <col min="23" max="23" width="20" style="67" bestFit="1" customWidth="1"/>
    <col min="24" max="51" width="9.33203125" style="67"/>
    <col min="52" max="16384" width="9.33203125" style="66"/>
  </cols>
  <sheetData>
    <row r="1" spans="1:7" ht="18.75" x14ac:dyDescent="0.3">
      <c r="A1" s="63" t="s">
        <v>22</v>
      </c>
      <c r="B1" s="64"/>
      <c r="C1" s="65"/>
      <c r="D1" s="65"/>
      <c r="E1" s="65"/>
      <c r="F1" s="65"/>
    </row>
    <row r="2" spans="1:7" ht="18.75" x14ac:dyDescent="0.3">
      <c r="A2" s="68" t="s">
        <v>23</v>
      </c>
      <c r="B2" s="69"/>
      <c r="C2" s="65"/>
      <c r="D2" s="65"/>
      <c r="E2" s="65"/>
      <c r="F2" s="65"/>
      <c r="G2" s="1"/>
    </row>
    <row r="3" spans="1:7" ht="15.75" x14ac:dyDescent="0.25">
      <c r="A3" s="70"/>
      <c r="B3" s="69"/>
      <c r="C3" s="65"/>
      <c r="D3" s="65"/>
      <c r="E3" s="65"/>
      <c r="F3" s="65"/>
      <c r="G3" s="1"/>
    </row>
    <row r="4" spans="1:7" x14ac:dyDescent="0.25">
      <c r="A4" s="71" t="s">
        <v>10</v>
      </c>
      <c r="B4" s="72"/>
      <c r="C4" s="73" t="s">
        <v>24</v>
      </c>
      <c r="D4" s="74"/>
      <c r="E4" s="74"/>
      <c r="F4" s="74"/>
      <c r="G4" s="74"/>
    </row>
    <row r="5" spans="1:7" x14ac:dyDescent="0.25">
      <c r="A5" s="71">
        <v>3</v>
      </c>
      <c r="B5" s="75" t="s">
        <v>25</v>
      </c>
      <c r="C5" s="76">
        <v>194032975.16574883</v>
      </c>
      <c r="D5" s="74"/>
      <c r="E5" s="74"/>
      <c r="F5" s="74"/>
      <c r="G5" s="74"/>
    </row>
    <row r="6" spans="1:7" x14ac:dyDescent="0.25">
      <c r="A6" s="71">
        <v>4</v>
      </c>
      <c r="B6" s="75" t="s">
        <v>26</v>
      </c>
      <c r="C6" s="77">
        <v>85738601.034227908</v>
      </c>
      <c r="D6" s="74"/>
      <c r="E6" s="74"/>
      <c r="F6" s="74"/>
      <c r="G6" s="74"/>
    </row>
    <row r="7" spans="1:7" x14ac:dyDescent="0.25">
      <c r="A7" s="71">
        <v>5</v>
      </c>
      <c r="B7" s="75" t="s">
        <v>27</v>
      </c>
      <c r="C7" s="78">
        <v>1911730858.7378278</v>
      </c>
      <c r="D7" s="74"/>
      <c r="E7" s="74"/>
      <c r="F7" s="74"/>
      <c r="G7" s="74"/>
    </row>
    <row r="8" spans="1:7" x14ac:dyDescent="0.25">
      <c r="A8" s="71">
        <v>6</v>
      </c>
      <c r="B8" s="79"/>
      <c r="C8" s="80">
        <f>SUM(C5:C7)</f>
        <v>2191502434.9378047</v>
      </c>
      <c r="D8" s="81"/>
      <c r="E8" s="82"/>
      <c r="F8" s="82"/>
      <c r="G8" s="74"/>
    </row>
    <row r="9" spans="1:7" x14ac:dyDescent="0.25">
      <c r="A9" s="71">
        <v>7</v>
      </c>
      <c r="B9" s="75" t="s">
        <v>28</v>
      </c>
      <c r="C9" s="83">
        <v>6.6900000000000001E-2</v>
      </c>
      <c r="D9" s="84"/>
      <c r="E9" s="82"/>
      <c r="F9" s="82" t="s">
        <v>29</v>
      </c>
      <c r="G9" s="82" t="s">
        <v>30</v>
      </c>
    </row>
    <row r="10" spans="1:7" x14ac:dyDescent="0.25">
      <c r="A10" s="71">
        <v>8</v>
      </c>
      <c r="B10" s="85"/>
      <c r="C10" s="74"/>
      <c r="D10" s="86" t="s">
        <v>31</v>
      </c>
      <c r="E10" s="82"/>
      <c r="F10" s="82" t="s">
        <v>32</v>
      </c>
      <c r="G10" s="82" t="s">
        <v>32</v>
      </c>
    </row>
    <row r="11" spans="1:7" x14ac:dyDescent="0.25">
      <c r="A11" s="71">
        <v>9</v>
      </c>
      <c r="B11" s="87"/>
      <c r="C11" s="74"/>
      <c r="D11" s="73" t="s">
        <v>33</v>
      </c>
      <c r="E11" s="88" t="s">
        <v>34</v>
      </c>
      <c r="F11" s="88" t="s">
        <v>35</v>
      </c>
      <c r="G11" s="88" t="s">
        <v>36</v>
      </c>
    </row>
    <row r="12" spans="1:7" x14ac:dyDescent="0.25">
      <c r="A12" s="71" t="s">
        <v>37</v>
      </c>
      <c r="B12" s="75"/>
      <c r="C12" s="89" t="s">
        <v>38</v>
      </c>
      <c r="D12" s="73" t="s">
        <v>39</v>
      </c>
      <c r="E12" s="73" t="s">
        <v>40</v>
      </c>
      <c r="F12" s="90" t="s">
        <v>41</v>
      </c>
      <c r="G12" s="88" t="s">
        <v>42</v>
      </c>
    </row>
    <row r="13" spans="1:7" x14ac:dyDescent="0.25">
      <c r="A13" s="71">
        <v>10</v>
      </c>
      <c r="B13" s="75" t="s">
        <v>43</v>
      </c>
      <c r="C13" s="76">
        <f>C5*$C$9/0.65</f>
        <v>19970470.82859784</v>
      </c>
      <c r="D13" s="91">
        <f t="shared" ref="D13:D34" si="0">+C13/$C$39</f>
        <v>0.98459356095912043</v>
      </c>
      <c r="E13" s="92" t="s">
        <v>44</v>
      </c>
      <c r="F13" s="93">
        <f>+C13</f>
        <v>19970470.82859784</v>
      </c>
      <c r="G13" s="94">
        <v>0</v>
      </c>
    </row>
    <row r="14" spans="1:7" x14ac:dyDescent="0.25">
      <c r="A14" s="71" t="s">
        <v>45</v>
      </c>
      <c r="B14" s="75" t="s">
        <v>46</v>
      </c>
      <c r="C14" s="95">
        <v>4770580.0590929296</v>
      </c>
      <c r="D14" s="96">
        <f t="shared" si="0"/>
        <v>0.23520138551248512</v>
      </c>
      <c r="E14" s="92" t="s">
        <v>47</v>
      </c>
      <c r="F14" s="97"/>
      <c r="G14" s="98">
        <f>+C14</f>
        <v>4770580.0590929296</v>
      </c>
    </row>
    <row r="15" spans="1:7" x14ac:dyDescent="0.25">
      <c r="A15" s="71">
        <v>11</v>
      </c>
      <c r="B15" s="79" t="s">
        <v>48</v>
      </c>
      <c r="C15" s="99">
        <f>+C6*C9/0.65</f>
        <v>8824480.6295228414</v>
      </c>
      <c r="D15" s="91">
        <f t="shared" si="0"/>
        <v>0.43506870124437175</v>
      </c>
      <c r="E15" s="92" t="s">
        <v>44</v>
      </c>
      <c r="F15" s="100">
        <f>+C15</f>
        <v>8824480.6295228414</v>
      </c>
      <c r="G15" s="74"/>
    </row>
    <row r="16" spans="1:7" x14ac:dyDescent="0.25">
      <c r="A16" s="71">
        <v>12</v>
      </c>
      <c r="B16" s="79" t="s">
        <v>49</v>
      </c>
      <c r="C16" s="77">
        <f>C7*$C$9/0.65</f>
        <v>196761222.23009336</v>
      </c>
      <c r="D16" s="91">
        <f t="shared" si="0"/>
        <v>9.7008144733760666</v>
      </c>
      <c r="E16" s="92" t="s">
        <v>44</v>
      </c>
      <c r="F16" s="100">
        <f>+C16</f>
        <v>196761222.23009336</v>
      </c>
      <c r="G16" s="74"/>
    </row>
    <row r="17" spans="1:7" x14ac:dyDescent="0.25">
      <c r="A17" s="71">
        <v>13</v>
      </c>
      <c r="B17" s="79" t="s">
        <v>79</v>
      </c>
      <c r="C17" s="95">
        <v>77848059.175617516</v>
      </c>
      <c r="D17" s="96">
        <f t="shared" si="0"/>
        <v>3.8381016880040786</v>
      </c>
      <c r="E17" s="92" t="s">
        <v>47</v>
      </c>
      <c r="F17" s="97"/>
      <c r="G17" s="98">
        <f>+C17</f>
        <v>77848059.175617516</v>
      </c>
    </row>
    <row r="18" spans="1:7" x14ac:dyDescent="0.25">
      <c r="A18" s="71">
        <v>14</v>
      </c>
      <c r="B18" s="79" t="s">
        <v>80</v>
      </c>
      <c r="C18" s="95">
        <v>420311008.23488718</v>
      </c>
      <c r="D18" s="96">
        <f t="shared" si="0"/>
        <v>20.72237133817049</v>
      </c>
      <c r="E18" s="92" t="s">
        <v>47</v>
      </c>
      <c r="F18" s="97"/>
      <c r="G18" s="98">
        <f>+C18</f>
        <v>420311008.23488718</v>
      </c>
    </row>
    <row r="19" spans="1:7" x14ac:dyDescent="0.25">
      <c r="A19" s="71">
        <v>15</v>
      </c>
      <c r="B19" s="79" t="s">
        <v>50</v>
      </c>
      <c r="C19" s="77">
        <v>9328904.4617558904</v>
      </c>
      <c r="D19" s="91">
        <f t="shared" si="0"/>
        <v>0.45993804265718286</v>
      </c>
      <c r="E19" s="92" t="s">
        <v>44</v>
      </c>
      <c r="F19" s="101">
        <f>+C19</f>
        <v>9328904.4617558904</v>
      </c>
      <c r="G19" s="74"/>
    </row>
    <row r="20" spans="1:7" x14ac:dyDescent="0.25">
      <c r="A20" s="71" t="s">
        <v>51</v>
      </c>
      <c r="B20" s="102" t="s">
        <v>52</v>
      </c>
      <c r="C20" s="77">
        <v>7998062.0946546746</v>
      </c>
      <c r="D20" s="91">
        <f t="shared" si="0"/>
        <v>0.39432422530926947</v>
      </c>
      <c r="E20" s="92" t="s">
        <v>44</v>
      </c>
      <c r="F20" s="101">
        <f>+C20</f>
        <v>7998062.0946546746</v>
      </c>
      <c r="G20" s="74"/>
    </row>
    <row r="21" spans="1:7" x14ac:dyDescent="0.25">
      <c r="A21" s="71" t="s">
        <v>53</v>
      </c>
      <c r="B21" s="102" t="s">
        <v>54</v>
      </c>
      <c r="C21" s="77">
        <v>2693723.63209977</v>
      </c>
      <c r="D21" s="91">
        <f t="shared" si="0"/>
        <v>0.13280723153361254</v>
      </c>
      <c r="E21" s="92" t="s">
        <v>44</v>
      </c>
      <c r="F21" s="101">
        <f>+C21</f>
        <v>2693723.63209977</v>
      </c>
      <c r="G21" s="74"/>
    </row>
    <row r="22" spans="1:7" x14ac:dyDescent="0.25">
      <c r="A22" s="71" t="s">
        <v>55</v>
      </c>
      <c r="B22" s="102" t="s">
        <v>56</v>
      </c>
      <c r="C22" s="95">
        <v>1391516.1348358386</v>
      </c>
      <c r="D22" s="96">
        <f t="shared" si="0"/>
        <v>6.8605184028417088E-2</v>
      </c>
      <c r="E22" s="92" t="s">
        <v>47</v>
      </c>
      <c r="F22" s="97"/>
      <c r="G22" s="98">
        <f>+C22</f>
        <v>1391516.1348358386</v>
      </c>
    </row>
    <row r="23" spans="1:7" x14ac:dyDescent="0.25">
      <c r="A23" s="71" t="s">
        <v>57</v>
      </c>
      <c r="B23" s="102" t="s">
        <v>58</v>
      </c>
      <c r="C23" s="77">
        <v>2065816.3155595041</v>
      </c>
      <c r="D23" s="91">
        <f t="shared" si="0"/>
        <v>0.10184984920393046</v>
      </c>
      <c r="E23" s="92" t="s">
        <v>44</v>
      </c>
      <c r="F23" s="101">
        <f>+C23</f>
        <v>2065816.3155595041</v>
      </c>
      <c r="G23" s="74"/>
    </row>
    <row r="24" spans="1:7" x14ac:dyDescent="0.25">
      <c r="A24" s="71" t="s">
        <v>59</v>
      </c>
      <c r="B24" s="102" t="s">
        <v>60</v>
      </c>
      <c r="C24" s="95">
        <v>313404.2680167685</v>
      </c>
      <c r="D24" s="96">
        <f t="shared" si="0"/>
        <v>1.5451604867749744E-2</v>
      </c>
      <c r="E24" s="92" t="s">
        <v>47</v>
      </c>
      <c r="F24" s="97"/>
      <c r="G24" s="98">
        <f>+C24</f>
        <v>313404.2680167685</v>
      </c>
    </row>
    <row r="25" spans="1:7" x14ac:dyDescent="0.25">
      <c r="A25" s="71">
        <v>16</v>
      </c>
      <c r="B25" s="79" t="s">
        <v>81</v>
      </c>
      <c r="C25" s="95">
        <v>126703440.68136849</v>
      </c>
      <c r="D25" s="96">
        <f t="shared" si="0"/>
        <v>6.2467927229635718</v>
      </c>
      <c r="E25" s="92" t="s">
        <v>47</v>
      </c>
      <c r="F25" s="97"/>
      <c r="G25" s="98">
        <f>+C25</f>
        <v>126703440.68136849</v>
      </c>
    </row>
    <row r="26" spans="1:7" x14ac:dyDescent="0.25">
      <c r="A26" s="71">
        <v>17</v>
      </c>
      <c r="B26" s="79" t="s">
        <v>82</v>
      </c>
      <c r="C26" s="95">
        <v>108585771.05547117</v>
      </c>
      <c r="D26" s="96">
        <f t="shared" si="0"/>
        <v>5.3535468397619486</v>
      </c>
      <c r="E26" s="92" t="s">
        <v>47</v>
      </c>
      <c r="F26" s="97"/>
      <c r="G26" s="98">
        <f>+C26</f>
        <v>108585771.05547117</v>
      </c>
    </row>
    <row r="27" spans="1:7" x14ac:dyDescent="0.25">
      <c r="A27" s="71">
        <v>18</v>
      </c>
      <c r="B27" s="79" t="s">
        <v>61</v>
      </c>
      <c r="C27" s="77">
        <v>-9692025.729682086</v>
      </c>
      <c r="D27" s="91">
        <f t="shared" si="0"/>
        <v>-0.47784081847634197</v>
      </c>
      <c r="E27" s="92" t="s">
        <v>44</v>
      </c>
      <c r="F27" s="101">
        <f>+C27</f>
        <v>-9692025.729682086</v>
      </c>
      <c r="G27" s="74"/>
    </row>
    <row r="28" spans="1:7" x14ac:dyDescent="0.25">
      <c r="A28" s="71">
        <v>19</v>
      </c>
      <c r="B28" s="79" t="s">
        <v>62</v>
      </c>
      <c r="C28" s="77">
        <v>135811609.12364367</v>
      </c>
      <c r="D28" s="91">
        <f t="shared" si="0"/>
        <v>6.6958479343987074</v>
      </c>
      <c r="E28" s="92" t="s">
        <v>44</v>
      </c>
      <c r="F28" s="101">
        <f>+C28</f>
        <v>135811609.12364367</v>
      </c>
      <c r="G28" s="74"/>
    </row>
    <row r="29" spans="1:7" x14ac:dyDescent="0.25">
      <c r="A29" s="71">
        <v>20</v>
      </c>
      <c r="B29" s="79" t="s">
        <v>63</v>
      </c>
      <c r="C29" s="95">
        <v>-31023626.161635548</v>
      </c>
      <c r="D29" s="96">
        <f t="shared" si="0"/>
        <v>-1.5295414323736269</v>
      </c>
      <c r="E29" s="92" t="s">
        <v>47</v>
      </c>
      <c r="F29" s="97"/>
      <c r="G29" s="98">
        <f>+C29</f>
        <v>-31023626.161635548</v>
      </c>
    </row>
    <row r="30" spans="1:7" x14ac:dyDescent="0.25">
      <c r="A30" s="103">
        <v>21</v>
      </c>
      <c r="B30" s="104" t="s">
        <v>64</v>
      </c>
      <c r="C30" s="95">
        <v>-16865225.066783406</v>
      </c>
      <c r="D30" s="96">
        <f t="shared" si="0"/>
        <v>-0.83149727151661679</v>
      </c>
      <c r="E30" s="92" t="s">
        <v>47</v>
      </c>
      <c r="F30" s="97"/>
      <c r="G30" s="98">
        <f>+C30</f>
        <v>-16865225.066783406</v>
      </c>
    </row>
    <row r="31" spans="1:7" x14ac:dyDescent="0.25">
      <c r="A31" s="71">
        <v>22</v>
      </c>
      <c r="B31" s="79" t="s">
        <v>65</v>
      </c>
      <c r="C31" s="77">
        <v>645351.73745011003</v>
      </c>
      <c r="D31" s="91">
        <f t="shared" si="0"/>
        <v>3.1817435387514713E-2</v>
      </c>
      <c r="E31" s="92" t="s">
        <v>44</v>
      </c>
      <c r="F31" s="101">
        <f>+C31</f>
        <v>645351.73745011003</v>
      </c>
      <c r="G31" s="74"/>
    </row>
    <row r="32" spans="1:7" x14ac:dyDescent="0.25">
      <c r="A32" s="71">
        <v>23</v>
      </c>
      <c r="B32" s="105" t="s">
        <v>66</v>
      </c>
      <c r="C32" s="77">
        <v>157488027.39762798</v>
      </c>
      <c r="D32" s="91">
        <f t="shared" si="0"/>
        <v>7.7645489199888429</v>
      </c>
      <c r="E32" s="92" t="s">
        <v>44</v>
      </c>
      <c r="F32" s="101">
        <f>+C32</f>
        <v>157488027.39762798</v>
      </c>
      <c r="G32" s="74"/>
    </row>
    <row r="33" spans="1:7" x14ac:dyDescent="0.25">
      <c r="A33" s="71">
        <v>24</v>
      </c>
      <c r="B33" s="72" t="s">
        <v>67</v>
      </c>
      <c r="C33" s="77">
        <v>3490805.0455442886</v>
      </c>
      <c r="D33" s="91">
        <f t="shared" si="0"/>
        <v>0.17210531488745251</v>
      </c>
      <c r="E33" s="92" t="s">
        <v>44</v>
      </c>
      <c r="F33" s="101">
        <f>+C33</f>
        <v>3490805.0455442886</v>
      </c>
      <c r="G33" s="74"/>
    </row>
    <row r="34" spans="1:7" x14ac:dyDescent="0.25">
      <c r="A34" s="71">
        <f>+A33+1</f>
        <v>25</v>
      </c>
      <c r="B34" s="72" t="s">
        <v>83</v>
      </c>
      <c r="C34" s="77">
        <v>18923406.660374254</v>
      </c>
      <c r="D34" s="91">
        <f t="shared" si="0"/>
        <v>0.93297071006130095</v>
      </c>
      <c r="E34" s="92" t="s">
        <v>44</v>
      </c>
      <c r="F34" s="101">
        <f>+C34</f>
        <v>18923406.660374254</v>
      </c>
      <c r="G34" s="74"/>
    </row>
    <row r="35" spans="1:7" x14ac:dyDescent="0.25">
      <c r="A35" s="71">
        <f t="shared" ref="A35:A45" si="1">+A34+1</f>
        <v>26</v>
      </c>
      <c r="B35" s="106" t="s">
        <v>68</v>
      </c>
      <c r="C35" s="81"/>
      <c r="D35" s="107"/>
      <c r="E35" s="92"/>
      <c r="F35" s="107"/>
      <c r="G35" s="81"/>
    </row>
    <row r="36" spans="1:7" x14ac:dyDescent="0.25">
      <c r="A36" s="71">
        <f>+A35+1</f>
        <v>27</v>
      </c>
      <c r="B36" s="108" t="s">
        <v>69</v>
      </c>
      <c r="C36" s="109">
        <f>SUM(C13:C35)</f>
        <v>1246344782.8081131</v>
      </c>
      <c r="D36" s="110">
        <f>SUM(D13:D35)</f>
        <v>61.44787763994951</v>
      </c>
      <c r="E36" s="111"/>
      <c r="F36" s="112">
        <f>SUM(F13:F35)</f>
        <v>554309854.42724216</v>
      </c>
      <c r="G36" s="109">
        <f>SUM(G13:G35)</f>
        <v>692034928.38087094</v>
      </c>
    </row>
    <row r="37" spans="1:7" x14ac:dyDescent="0.25">
      <c r="A37" s="71">
        <f t="shared" si="1"/>
        <v>28</v>
      </c>
      <c r="B37" s="79" t="s">
        <v>70</v>
      </c>
      <c r="C37" s="113">
        <v>0.95238599999999995</v>
      </c>
      <c r="D37" s="113">
        <f>+C37</f>
        <v>0.95238599999999995</v>
      </c>
      <c r="E37" s="113"/>
      <c r="F37" s="114">
        <f>+D37</f>
        <v>0.95238599999999995</v>
      </c>
      <c r="G37" s="114">
        <f>+F37</f>
        <v>0.95238599999999995</v>
      </c>
    </row>
    <row r="38" spans="1:7" x14ac:dyDescent="0.25">
      <c r="A38" s="71">
        <f t="shared" si="1"/>
        <v>29</v>
      </c>
      <c r="B38" s="79" t="s">
        <v>71</v>
      </c>
      <c r="C38" s="109">
        <f>+C36/C37</f>
        <v>1308655086.0765626</v>
      </c>
      <c r="D38" s="110">
        <f>+D36/C37</f>
        <v>64.519929566320286</v>
      </c>
      <c r="E38" s="111"/>
      <c r="F38" s="112">
        <f>+F36/F37</f>
        <v>582022262.4306134</v>
      </c>
      <c r="G38" s="109">
        <f>+G36/G37</f>
        <v>726632823.64594924</v>
      </c>
    </row>
    <row r="39" spans="1:7" x14ac:dyDescent="0.25">
      <c r="A39" s="71">
        <f t="shared" si="1"/>
        <v>30</v>
      </c>
      <c r="B39" s="79" t="s">
        <v>19</v>
      </c>
      <c r="C39" s="115">
        <v>20282959</v>
      </c>
      <c r="D39" s="116" t="s">
        <v>72</v>
      </c>
      <c r="E39" s="116"/>
      <c r="F39" s="117"/>
      <c r="G39" s="74"/>
    </row>
    <row r="40" spans="1:7" x14ac:dyDescent="0.25">
      <c r="A40" s="71">
        <f t="shared" si="1"/>
        <v>31</v>
      </c>
      <c r="B40" s="118"/>
      <c r="C40" s="94"/>
      <c r="D40" s="119" t="s">
        <v>73</v>
      </c>
      <c r="E40" s="119"/>
      <c r="F40" s="119" t="s">
        <v>29</v>
      </c>
      <c r="G40" s="119" t="s">
        <v>74</v>
      </c>
    </row>
    <row r="41" spans="1:7" x14ac:dyDescent="0.25">
      <c r="A41" s="71">
        <f t="shared" si="1"/>
        <v>32</v>
      </c>
      <c r="B41" s="79" t="s">
        <v>75</v>
      </c>
      <c r="C41" s="74"/>
      <c r="D41" s="74"/>
      <c r="E41" s="74"/>
      <c r="F41" s="74"/>
      <c r="G41" s="74"/>
    </row>
    <row r="42" spans="1:7" x14ac:dyDescent="0.25">
      <c r="A42" s="71">
        <f t="shared" si="1"/>
        <v>33</v>
      </c>
      <c r="B42" s="79" t="s">
        <v>76</v>
      </c>
      <c r="C42" s="94"/>
      <c r="D42" s="120">
        <f>+F42+G42</f>
        <v>61.447877639949525</v>
      </c>
      <c r="E42" s="121"/>
      <c r="F42" s="122">
        <f>+F36/$C$39</f>
        <v>27.328845580531034</v>
      </c>
      <c r="G42" s="120">
        <f>+G36/$C$39</f>
        <v>34.119032059418494</v>
      </c>
    </row>
    <row r="43" spans="1:7" x14ac:dyDescent="0.25">
      <c r="A43" s="71">
        <f t="shared" si="1"/>
        <v>34</v>
      </c>
      <c r="B43" s="79" t="s">
        <v>71</v>
      </c>
      <c r="C43" s="74"/>
      <c r="D43" s="120">
        <f>+F43+G43</f>
        <v>64.519929566320315</v>
      </c>
      <c r="E43" s="121"/>
      <c r="F43" s="122">
        <f>+F38/$C$39</f>
        <v>28.695135775337977</v>
      </c>
      <c r="G43" s="120">
        <f>+G38/$C$39</f>
        <v>35.824793790982334</v>
      </c>
    </row>
    <row r="44" spans="1:7" x14ac:dyDescent="0.25">
      <c r="A44" s="71">
        <f t="shared" si="1"/>
        <v>35</v>
      </c>
      <c r="B44" s="79"/>
      <c r="C44" s="74"/>
      <c r="D44" s="74"/>
      <c r="E44" s="74"/>
      <c r="F44" s="123"/>
      <c r="G44" s="74"/>
    </row>
    <row r="45" spans="1:7" x14ac:dyDescent="0.25">
      <c r="A45" s="71">
        <f t="shared" si="1"/>
        <v>36</v>
      </c>
      <c r="B45" s="79" t="s">
        <v>77</v>
      </c>
      <c r="C45" s="74"/>
      <c r="D45" s="74"/>
      <c r="E45" s="74"/>
      <c r="F45" s="74"/>
      <c r="G45" s="74"/>
    </row>
    <row r="46" spans="1:7" x14ac:dyDescent="0.25">
      <c r="B46" s="2" t="s">
        <v>78</v>
      </c>
      <c r="C46" s="67"/>
      <c r="D46" s="67"/>
      <c r="E46" s="67"/>
      <c r="F46" s="67"/>
      <c r="G46" s="67"/>
    </row>
    <row r="47" spans="1:7" x14ac:dyDescent="0.25">
      <c r="B47" s="67"/>
      <c r="C47" s="67"/>
      <c r="D47" s="67"/>
      <c r="E47" s="67"/>
      <c r="F47" s="67"/>
      <c r="G47" s="67"/>
    </row>
    <row r="48" spans="1:7" x14ac:dyDescent="0.25">
      <c r="B48" s="67"/>
      <c r="C48" s="67"/>
      <c r="D48" s="67"/>
      <c r="E48" s="67"/>
      <c r="F48" s="67"/>
      <c r="G48" s="67"/>
    </row>
    <row r="49" spans="1:7" x14ac:dyDescent="0.25">
      <c r="B49" s="67"/>
      <c r="C49" s="67"/>
      <c r="D49" s="67"/>
      <c r="E49" s="67"/>
      <c r="F49" s="67"/>
      <c r="G49" s="67"/>
    </row>
    <row r="50" spans="1:7" x14ac:dyDescent="0.25">
      <c r="B50" s="67"/>
      <c r="C50" s="67"/>
      <c r="D50" s="67"/>
      <c r="E50" s="67"/>
      <c r="F50" s="67"/>
      <c r="G50" s="67"/>
    </row>
    <row r="51" spans="1:7" x14ac:dyDescent="0.25">
      <c r="B51" s="67"/>
      <c r="C51" s="67"/>
      <c r="D51" s="67"/>
      <c r="E51" s="67"/>
      <c r="F51" s="67"/>
      <c r="G51" s="67"/>
    </row>
    <row r="52" spans="1:7" x14ac:dyDescent="0.25">
      <c r="B52" s="67"/>
      <c r="C52" s="67"/>
      <c r="D52" s="67"/>
      <c r="E52" s="67"/>
      <c r="F52" s="67"/>
      <c r="G52" s="67"/>
    </row>
    <row r="53" spans="1:7" x14ac:dyDescent="0.25">
      <c r="B53" s="67"/>
      <c r="C53" s="67"/>
      <c r="D53" s="67"/>
      <c r="E53" s="67"/>
      <c r="F53" s="67"/>
      <c r="G53" s="67"/>
    </row>
    <row r="54" spans="1:7" x14ac:dyDescent="0.25">
      <c r="B54" s="67"/>
      <c r="C54" s="67"/>
      <c r="D54" s="67"/>
      <c r="E54" s="67"/>
      <c r="F54" s="67"/>
      <c r="G54" s="67"/>
    </row>
    <row r="55" spans="1:7" x14ac:dyDescent="0.25">
      <c r="B55" s="67"/>
      <c r="C55" s="67"/>
      <c r="D55" s="67"/>
      <c r="E55" s="67"/>
      <c r="F55" s="67"/>
      <c r="G55" s="67"/>
    </row>
    <row r="56" spans="1:7" x14ac:dyDescent="0.25">
      <c r="B56" s="67"/>
      <c r="C56" s="67"/>
      <c r="D56" s="67"/>
      <c r="E56" s="67"/>
      <c r="F56" s="67"/>
      <c r="G56" s="67"/>
    </row>
    <row r="57" spans="1:7" x14ac:dyDescent="0.25">
      <c r="B57" s="67"/>
      <c r="C57" s="67"/>
      <c r="D57" s="67"/>
      <c r="E57" s="67"/>
      <c r="F57" s="67"/>
      <c r="G57" s="67"/>
    </row>
    <row r="58" spans="1:7" x14ac:dyDescent="0.25">
      <c r="B58" s="67"/>
      <c r="C58" s="67"/>
      <c r="D58" s="67"/>
      <c r="E58" s="67"/>
      <c r="F58" s="67"/>
      <c r="G58" s="67"/>
    </row>
    <row r="59" spans="1:7" x14ac:dyDescent="0.25">
      <c r="A59" s="124"/>
      <c r="B59" s="67"/>
      <c r="C59" s="67"/>
      <c r="D59" s="67"/>
      <c r="E59" s="67"/>
      <c r="F59" s="67"/>
      <c r="G59" s="67"/>
    </row>
    <row r="60" spans="1:7" x14ac:dyDescent="0.25">
      <c r="A60" s="124"/>
      <c r="B60" s="67"/>
      <c r="C60" s="67"/>
      <c r="D60" s="67"/>
      <c r="E60" s="67"/>
      <c r="F60" s="67"/>
      <c r="G60" s="67"/>
    </row>
    <row r="61" spans="1:7" x14ac:dyDescent="0.25">
      <c r="B61" s="67"/>
      <c r="C61" s="67"/>
      <c r="D61" s="67"/>
      <c r="E61" s="67"/>
      <c r="F61" s="67"/>
      <c r="G61" s="67"/>
    </row>
    <row r="62" spans="1:7" x14ac:dyDescent="0.25">
      <c r="B62" s="67"/>
      <c r="C62" s="67"/>
      <c r="D62" s="67"/>
      <c r="E62" s="67"/>
      <c r="F62" s="67"/>
      <c r="G62" s="67"/>
    </row>
  </sheetData>
  <pageMargins left="0.5" right="0.5" top="0.5" bottom="0.5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2017-04-03T07:00:00+00:00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5F8492C-AAE4-414A-853D-60D1BA35E5BB}"/>
</file>

<file path=customXml/itemProps2.xml><?xml version="1.0" encoding="utf-8"?>
<ds:datastoreItem xmlns:ds="http://schemas.openxmlformats.org/officeDocument/2006/customXml" ds:itemID="{61DE41B7-BE66-478A-BD46-C2F8A507C940}"/>
</file>

<file path=customXml/itemProps3.xml><?xml version="1.0" encoding="utf-8"?>
<ds:datastoreItem xmlns:ds="http://schemas.openxmlformats.org/officeDocument/2006/customXml" ds:itemID="{F3F2ABF7-FFA3-4D6C-84C3-92B713750F24}"/>
</file>

<file path=customXml/itemProps4.xml><?xml version="1.0" encoding="utf-8"?>
<ds:datastoreItem xmlns:ds="http://schemas.openxmlformats.org/officeDocument/2006/customXml" ds:itemID="{689B9746-3260-482A-9549-F12FCBABFC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KJB-16 p.1</vt:lpstr>
      <vt:lpstr>KJB-16 p.2</vt:lpstr>
      <vt:lpstr>'KJB-16 p.2'!k_A_1</vt:lpstr>
      <vt:lpstr>'KJB-16 p.1'!Print_Area</vt:lpstr>
      <vt:lpstr>'KJB-16 p.2'!Print_Area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No Name</cp:lastModifiedBy>
  <cp:lastPrinted>2017-04-03T06:36:10Z</cp:lastPrinted>
  <dcterms:created xsi:type="dcterms:W3CDTF">2017-03-26T18:42:02Z</dcterms:created>
  <dcterms:modified xsi:type="dcterms:W3CDTF">2017-04-03T06:37:27Z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