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Elec and Gas GRC\Adjustments\4.00T Strategic Tax\"/>
    </mc:Choice>
  </mc:AlternateContent>
  <xr:revisionPtr revIDLastSave="0" documentId="13_ncr:1_{483F15A6-0F32-4CAB-BA17-ABC2357E32A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djustment" sheetId="3" r:id="rId1"/>
    <sheet name="Year 1" sheetId="2" r:id="rId2"/>
    <sheet name="JE" sheetId="4" r:id="rId3"/>
  </sheets>
  <definedNames>
    <definedName name="_xlnm.Print_Area" localSheetId="0">Adjustment!$C$1:$F$8</definedName>
    <definedName name="_xlnm.Print_Area" localSheetId="1">'Year 1'!$A$1:$H$79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2" l="1"/>
  <c r="H15" i="2"/>
  <c r="G15" i="2"/>
  <c r="F15" i="2"/>
  <c r="E15" i="2"/>
  <c r="D15" i="2"/>
  <c r="H10" i="2"/>
  <c r="G10" i="2"/>
  <c r="F10" i="2"/>
  <c r="E10" i="2"/>
  <c r="D10" i="2"/>
  <c r="C10" i="2"/>
  <c r="H9" i="2"/>
  <c r="G9" i="2"/>
  <c r="F9" i="2"/>
  <c r="E9" i="2"/>
  <c r="D9" i="2"/>
  <c r="C9" i="2"/>
  <c r="H8" i="2"/>
  <c r="G8" i="2"/>
  <c r="F8" i="2"/>
  <c r="E8" i="2"/>
  <c r="D8" i="2"/>
  <c r="C8" i="2"/>
  <c r="H7" i="2"/>
  <c r="G7" i="2"/>
  <c r="F7" i="2"/>
  <c r="E7" i="2"/>
  <c r="D7" i="2"/>
  <c r="C7" i="2"/>
  <c r="B6" i="4" l="1"/>
  <c r="C6" i="4" s="1"/>
  <c r="G6" i="4"/>
  <c r="H6" i="4"/>
  <c r="I6" i="4" l="1"/>
  <c r="D6" i="4"/>
  <c r="K6" i="4" s="1"/>
  <c r="J13" i="2" l="1"/>
  <c r="J14" i="2"/>
  <c r="J16" i="2"/>
  <c r="J17" i="2"/>
  <c r="F65" i="2"/>
  <c r="D65" i="2"/>
  <c r="F56" i="2"/>
  <c r="D56" i="2"/>
  <c r="J11" i="2"/>
  <c r="H12" i="2"/>
  <c r="H18" i="2" s="1"/>
  <c r="D12" i="2"/>
  <c r="D18" i="2" s="1"/>
  <c r="J6" i="2"/>
  <c r="J5" i="2"/>
  <c r="J4" i="2"/>
  <c r="F1" i="2"/>
  <c r="F32" i="2" s="1"/>
  <c r="D1" i="2"/>
  <c r="D32" i="2" s="1"/>
  <c r="F73" i="2" l="1"/>
  <c r="F74" i="2"/>
  <c r="F75" i="2"/>
  <c r="D75" i="2"/>
  <c r="D73" i="2"/>
  <c r="D74" i="2"/>
  <c r="F12" i="2"/>
  <c r="F18" i="2" s="1"/>
  <c r="J15" i="2"/>
  <c r="J8" i="2"/>
  <c r="J7" i="2"/>
  <c r="G12" i="2"/>
  <c r="G18" i="2" s="1"/>
  <c r="J9" i="2"/>
  <c r="J10" i="2"/>
  <c r="F22" i="2"/>
  <c r="F24" i="2"/>
  <c r="E12" i="2"/>
  <c r="E18" i="2" s="1"/>
  <c r="D21" i="2"/>
  <c r="D34" i="2" s="1"/>
  <c r="D23" i="2"/>
  <c r="D25" i="2"/>
  <c r="D27" i="2"/>
  <c r="D29" i="2"/>
  <c r="D31" i="2"/>
  <c r="C12" i="2"/>
  <c r="F21" i="2"/>
  <c r="F23" i="2"/>
  <c r="F25" i="2"/>
  <c r="F27" i="2"/>
  <c r="F29" i="2"/>
  <c r="F31" i="2"/>
  <c r="F26" i="2"/>
  <c r="F28" i="2"/>
  <c r="F30" i="2"/>
  <c r="D22" i="2"/>
  <c r="D24" i="2"/>
  <c r="D26" i="2"/>
  <c r="D28" i="2"/>
  <c r="D30" i="2"/>
  <c r="F76" i="2" l="1"/>
  <c r="F79" i="2" s="1"/>
  <c r="F5" i="3" s="1"/>
  <c r="D76" i="2"/>
  <c r="D79" i="2" s="1"/>
  <c r="D5" i="3" s="1"/>
  <c r="F34" i="2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J12" i="2"/>
  <c r="C18" i="2"/>
  <c r="J18" i="2" s="1"/>
  <c r="D35" i="2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F47" i="2" l="1"/>
  <c r="F49" i="2" s="1"/>
  <c r="F8" i="3" s="1"/>
  <c r="D47" i="2"/>
  <c r="D49" i="2" s="1"/>
  <c r="D8" i="3" s="1"/>
  <c r="F60" i="2" l="1"/>
  <c r="F62" i="2" s="1"/>
  <c r="F67" i="2" s="1"/>
  <c r="F69" i="2" s="1"/>
  <c r="D60" i="2"/>
  <c r="D62" i="2" s="1"/>
  <c r="D67" i="2" s="1"/>
  <c r="D69" i="2" s="1"/>
</calcChain>
</file>

<file path=xl/sharedStrings.xml><?xml version="1.0" encoding="utf-8"?>
<sst xmlns="http://schemas.openxmlformats.org/spreadsheetml/2006/main" count="58" uniqueCount="49">
  <si>
    <t>System</t>
  </si>
  <si>
    <t>WA E</t>
  </si>
  <si>
    <t>ID E</t>
  </si>
  <si>
    <t>WA G</t>
  </si>
  <si>
    <t>ID G</t>
  </si>
  <si>
    <t>OR G</t>
  </si>
  <si>
    <t>12/31/2018 Balance</t>
  </si>
  <si>
    <t>check</t>
  </si>
  <si>
    <t>2019 Activity:</t>
  </si>
  <si>
    <t>481 (a)</t>
  </si>
  <si>
    <t>2019 Additions</t>
  </si>
  <si>
    <t>2019 Amortization</t>
  </si>
  <si>
    <t>Transfer EDIT</t>
  </si>
  <si>
    <t>12/31/2019 Balance</t>
  </si>
  <si>
    <t>Revenue Req</t>
  </si>
  <si>
    <t>Debt %</t>
  </si>
  <si>
    <t>Debt Cost</t>
  </si>
  <si>
    <t>Equity %</t>
  </si>
  <si>
    <t>Equity Cost</t>
  </si>
  <si>
    <t xml:space="preserve">   ROR</t>
  </si>
  <si>
    <t>CF</t>
  </si>
  <si>
    <t>FIT Benefit of Interest</t>
  </si>
  <si>
    <t>Revenue Requirement</t>
  </si>
  <si>
    <t>Tax Credit</t>
  </si>
  <si>
    <t>Revenue Requirement of Tax Credit</t>
  </si>
  <si>
    <t>Rate Spread</t>
  </si>
  <si>
    <t>Increase to Rate Base</t>
  </si>
  <si>
    <t>2020 Activity:</t>
  </si>
  <si>
    <t>2020 Additions</t>
  </si>
  <si>
    <t>2020 Amortization</t>
  </si>
  <si>
    <t>12/31/2020 Balance</t>
  </si>
  <si>
    <t>ADFIT</t>
  </si>
  <si>
    <t>Uncollectibles</t>
  </si>
  <si>
    <t>Commisssion Fees</t>
  </si>
  <si>
    <t>WA Excise Tax</t>
  </si>
  <si>
    <t>Amortization</t>
  </si>
  <si>
    <t>Regulatory Amortization</t>
  </si>
  <si>
    <t>Calculated Revenue Requirement</t>
  </si>
  <si>
    <t>Rev Req per Andrews' model</t>
  </si>
  <si>
    <t>Rounding Diff</t>
  </si>
  <si>
    <t>Record Amortization</t>
  </si>
  <si>
    <t>Record Customer Refund from Tariff</t>
  </si>
  <si>
    <t>FIT</t>
  </si>
  <si>
    <t>Revenue Related Expenses</t>
  </si>
  <si>
    <t>Reg Amortization</t>
  </si>
  <si>
    <t>Reg Liability</t>
  </si>
  <si>
    <t>Revenue</t>
  </si>
  <si>
    <t>Customer AR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</si>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</sst>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* #,##0_);_(* \(#,##0\);_(* &quot;-&quot;???_);_(@_)"/>
    <numFmt numFmtId="167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17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0" applyNumberFormat="1"/>
    <xf numFmtId="165" fontId="0" fillId="0" borderId="1" xfId="0" applyNumberFormat="1" applyBorder="1"/>
    <xf numFmtId="166" fontId="0" fillId="0" borderId="0" xfId="0" applyNumberFormat="1"/>
    <xf numFmtId="14" fontId="0" fillId="0" borderId="0" xfId="0" applyNumberFormat="1"/>
    <xf numFmtId="164" fontId="0" fillId="2" borderId="0" xfId="0" applyNumberFormat="1" applyFill="1"/>
    <xf numFmtId="164" fontId="0" fillId="2" borderId="0" xfId="1" applyNumberFormat="1" applyFont="1" applyFill="1"/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1" applyNumberFormat="1" applyFont="1" applyFill="1"/>
    <xf numFmtId="0" fontId="2" fillId="0" borderId="0" xfId="0" applyFont="1"/>
    <xf numFmtId="0" fontId="0" fillId="0" borderId="2" xfId="0" applyBorder="1"/>
    <xf numFmtId="167" fontId="0" fillId="0" borderId="0" xfId="2" applyNumberFormat="1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10"/>
  <sheetViews>
    <sheetView tabSelected="1" topLeftCell="C2" zoomScaleNormal="100" workbookViewId="0">
      <selection activeCell="B2" sqref="A1:B1048576"/>
    </sheetView>
  </sheetViews>
  <sheetFormatPr defaultRowHeight="15" x14ac:dyDescent="0.25"/>
  <cols>
    <col min="1" max="2" width="9.140625" hidden="1" customWidth="1"/>
    <col min="3" max="3" width="21" bestFit="1" customWidth="1"/>
    <col min="4" max="4" width="14.28515625" bestFit="1" customWidth="1"/>
    <col min="5" max="5" width="6.42578125" customWidth="1"/>
    <col min="6" max="6" width="14.28515625" bestFit="1" customWidth="1"/>
  </cols>
  <sheetData>
    <row r="3" spans="3:6" x14ac:dyDescent="0.25">
      <c r="D3" s="12" t="s">
        <v>1</v>
      </c>
      <c r="E3" s="12"/>
      <c r="F3" s="12" t="s">
        <v>3</v>
      </c>
    </row>
    <row r="5" spans="3:6" x14ac:dyDescent="0.25">
      <c r="C5" t="s">
        <v>36</v>
      </c>
      <c r="D5" s="17">
        <f>'Year 1'!D79/1000</f>
        <v>-43788.637162482424</v>
      </c>
      <c r="E5" s="17"/>
      <c r="F5" s="17">
        <f>'Year 1'!F79/1000</f>
        <v>-12763.287422415127</v>
      </c>
    </row>
    <row r="6" spans="3:6" x14ac:dyDescent="0.25">
      <c r="D6" s="17"/>
      <c r="E6" s="17"/>
      <c r="F6" s="17"/>
    </row>
    <row r="7" spans="3:6" x14ac:dyDescent="0.25">
      <c r="D7" s="17"/>
      <c r="E7" s="17"/>
      <c r="F7" s="17"/>
    </row>
    <row r="8" spans="3:6" x14ac:dyDescent="0.25">
      <c r="C8" t="s">
        <v>31</v>
      </c>
      <c r="D8" s="17">
        <f>'Year 1'!D49/1000</f>
        <v>17680.709061164034</v>
      </c>
      <c r="E8" s="17"/>
      <c r="F8" s="17">
        <f>'Year 1'!F49/1000</f>
        <v>6090.6318873458631</v>
      </c>
    </row>
    <row r="9" spans="3:6" x14ac:dyDescent="0.25">
      <c r="D9" s="1"/>
      <c r="E9" s="1"/>
      <c r="F9" s="1"/>
    </row>
    <row r="10" spans="3:6" x14ac:dyDescent="0.25">
      <c r="D10" s="1"/>
      <c r="E10" s="1"/>
      <c r="F10" s="1"/>
    </row>
  </sheetData>
  <pageMargins left="0.7" right="0.7" top="0.75" bottom="0.75" header="0.3" footer="0.3"/>
  <pageSetup orientation="portrait" r:id="rId1"/>
  <headerFooter>
    <oddFooter>&amp;LAVISTA
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9"/>
  <sheetViews>
    <sheetView tabSelected="1" topLeftCell="A52" zoomScaleNormal="100" workbookViewId="0">
      <selection activeCell="B2" sqref="A1:B1048576"/>
    </sheetView>
  </sheetViews>
  <sheetFormatPr defaultRowHeight="15" x14ac:dyDescent="0.25"/>
  <cols>
    <col min="2" max="2" width="17.7109375" bestFit="1" customWidth="1"/>
    <col min="3" max="4" width="15.28515625" bestFit="1" customWidth="1"/>
    <col min="5" max="5" width="14.28515625" bestFit="1" customWidth="1"/>
    <col min="6" max="6" width="13.7109375" bestFit="1" customWidth="1"/>
    <col min="7" max="8" width="13.28515625" bestFit="1" customWidth="1"/>
    <col min="9" max="9" width="3.5703125" customWidth="1"/>
    <col min="10" max="10" width="13.28515625" bestFit="1" customWidth="1"/>
    <col min="11" max="11" width="1.140625" customWidth="1"/>
    <col min="13" max="13" width="2.5703125" customWidth="1"/>
  </cols>
  <sheetData>
    <row r="1" spans="2:14" x14ac:dyDescent="0.25">
      <c r="B1" t="s">
        <v>14</v>
      </c>
      <c r="D1" s="1">
        <f>D64</f>
        <v>34593000</v>
      </c>
      <c r="E1" s="1"/>
      <c r="F1" s="1">
        <f t="shared" ref="F1" si="0">F64</f>
        <v>10083000</v>
      </c>
    </row>
    <row r="2" spans="2:14" x14ac:dyDescent="0.25">
      <c r="L2" t="s">
        <v>25</v>
      </c>
      <c r="N2" t="s">
        <v>25</v>
      </c>
    </row>
    <row r="3" spans="2:14" s="15" customFormat="1" x14ac:dyDescent="0.25">
      <c r="C3" s="12" t="s">
        <v>0</v>
      </c>
      <c r="D3" s="12" t="s">
        <v>1</v>
      </c>
      <c r="E3" s="12" t="s">
        <v>2</v>
      </c>
      <c r="F3" s="12" t="s">
        <v>3</v>
      </c>
      <c r="G3" s="12" t="s">
        <v>4</v>
      </c>
      <c r="H3" s="12" t="s">
        <v>5</v>
      </c>
      <c r="J3" s="15" t="s">
        <v>7</v>
      </c>
      <c r="L3" s="12" t="s">
        <v>1</v>
      </c>
      <c r="M3" s="12"/>
      <c r="N3" s="12" t="s">
        <v>3</v>
      </c>
    </row>
    <row r="4" spans="2:14" x14ac:dyDescent="0.25">
      <c r="B4" t="s">
        <v>6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/>
      <c r="J4" s="1">
        <f>C4-D4-E4-F4-G4-H4</f>
        <v>0</v>
      </c>
      <c r="K4" s="1"/>
    </row>
    <row r="5" spans="2:14" x14ac:dyDescent="0.25">
      <c r="C5" s="1"/>
      <c r="D5" s="1"/>
      <c r="E5" s="1"/>
      <c r="F5" s="1"/>
      <c r="G5" s="1"/>
      <c r="H5" s="1"/>
      <c r="I5" s="1"/>
      <c r="J5" s="1">
        <f t="shared" ref="J5:J18" si="1">C5-D5-E5-F5-G5-H5</f>
        <v>0</v>
      </c>
      <c r="K5" s="1"/>
    </row>
    <row r="6" spans="2:14" x14ac:dyDescent="0.25">
      <c r="B6" t="s">
        <v>8</v>
      </c>
      <c r="C6" s="1"/>
      <c r="D6" s="1"/>
      <c r="E6" s="1"/>
      <c r="F6" s="1"/>
      <c r="G6" s="1"/>
      <c r="H6" s="1"/>
      <c r="I6" s="1"/>
      <c r="J6" s="1">
        <f t="shared" si="1"/>
        <v>0</v>
      </c>
      <c r="K6" s="1"/>
    </row>
    <row r="7" spans="2:14" x14ac:dyDescent="0.25">
      <c r="B7" t="s">
        <v>9</v>
      </c>
      <c r="C7" s="1">
        <f>-12076466-70924333</f>
        <v>-83000799</v>
      </c>
      <c r="D7" s="1">
        <f>-1872998-30855055</f>
        <v>-32728053</v>
      </c>
      <c r="E7" s="1">
        <f>-1008537-16614260</f>
        <v>-17622797</v>
      </c>
      <c r="F7" s="1">
        <f>-4272542-10400332</f>
        <v>-14672874</v>
      </c>
      <c r="G7" s="1">
        <f>-1831090-4457285</f>
        <v>-6288375</v>
      </c>
      <c r="H7" s="1">
        <f>-3091299-8597401</f>
        <v>-11688700</v>
      </c>
      <c r="I7" s="1"/>
      <c r="J7" s="1">
        <f t="shared" si="1"/>
        <v>0</v>
      </c>
      <c r="K7" s="1"/>
    </row>
    <row r="8" spans="2:14" x14ac:dyDescent="0.25">
      <c r="B8" t="s">
        <v>10</v>
      </c>
      <c r="C8" s="1">
        <f>-11378988-6147010</f>
        <v>-17525998</v>
      </c>
      <c r="D8" s="1">
        <f>-4361554-2595031</f>
        <v>-6956585</v>
      </c>
      <c r="E8" s="1">
        <f>-2348529-1397325</f>
        <v>-3745854</v>
      </c>
      <c r="F8" s="1">
        <f>-2639657-1042519</f>
        <v>-3682176</v>
      </c>
      <c r="G8" s="1">
        <f>-1131281-446794</f>
        <v>-1578075</v>
      </c>
      <c r="H8" s="1">
        <f>-897967-665341</f>
        <v>-1563308</v>
      </c>
      <c r="I8" s="1"/>
      <c r="J8" s="1">
        <f t="shared" si="1"/>
        <v>0</v>
      </c>
      <c r="K8" s="1"/>
    </row>
    <row r="9" spans="2:14" x14ac:dyDescent="0.25">
      <c r="B9" t="s">
        <v>11</v>
      </c>
      <c r="C9" s="1">
        <f>2419978+13438966</f>
        <v>15858944</v>
      </c>
      <c r="D9" s="1">
        <f>801948+6253901</f>
        <v>7055849</v>
      </c>
      <c r="E9" s="1">
        <f>431818+3367485</f>
        <v>3799303</v>
      </c>
      <c r="F9" s="1">
        <f>653069+1864308</f>
        <v>2517377</v>
      </c>
      <c r="G9" s="1">
        <f>279887+798989</f>
        <v>1078876</v>
      </c>
      <c r="H9" s="1">
        <f>253255+1154283</f>
        <v>1407538</v>
      </c>
      <c r="I9" s="1"/>
      <c r="J9" s="1">
        <f t="shared" si="1"/>
        <v>1</v>
      </c>
      <c r="K9" s="1"/>
    </row>
    <row r="10" spans="2:14" x14ac:dyDescent="0.25">
      <c r="B10" t="s">
        <v>12</v>
      </c>
      <c r="C10" s="1">
        <f>-2754681-18786790</f>
        <v>-21541471</v>
      </c>
      <c r="D10" s="1">
        <f>-264751-7854773</f>
        <v>-8119524</v>
      </c>
      <c r="E10" s="1">
        <f>-142558-4229493</f>
        <v>-4372051</v>
      </c>
      <c r="F10" s="1">
        <f>-983314-2832305</f>
        <v>-3815619</v>
      </c>
      <c r="G10" s="1">
        <f>-421420-1213845</f>
        <v>-1635265</v>
      </c>
      <c r="H10" s="1">
        <f>-942638-2656373</f>
        <v>-3599011</v>
      </c>
      <c r="I10" s="1"/>
      <c r="J10" s="1">
        <f t="shared" si="1"/>
        <v>-1</v>
      </c>
      <c r="K10" s="1"/>
    </row>
    <row r="11" spans="2:14" x14ac:dyDescent="0.25">
      <c r="C11" s="1"/>
      <c r="D11" s="1"/>
      <c r="E11" s="1"/>
      <c r="F11" s="1"/>
      <c r="G11" s="1"/>
      <c r="H11" s="1"/>
      <c r="I11" s="1"/>
      <c r="J11" s="1">
        <f t="shared" si="1"/>
        <v>0</v>
      </c>
      <c r="K11" s="1"/>
    </row>
    <row r="12" spans="2:14" x14ac:dyDescent="0.25">
      <c r="B12" t="s">
        <v>13</v>
      </c>
      <c r="C12" s="1">
        <f>SUM(C4:C10)</f>
        <v>-106209324</v>
      </c>
      <c r="D12" s="1">
        <f t="shared" ref="D12:H12" si="2">SUM(D4:D10)</f>
        <v>-40748313</v>
      </c>
      <c r="E12" s="1">
        <f t="shared" si="2"/>
        <v>-21941399</v>
      </c>
      <c r="F12" s="1">
        <f t="shared" si="2"/>
        <v>-19653292</v>
      </c>
      <c r="G12" s="1">
        <f t="shared" si="2"/>
        <v>-8422839</v>
      </c>
      <c r="H12" s="1">
        <f t="shared" si="2"/>
        <v>-15443481</v>
      </c>
      <c r="I12" s="1"/>
      <c r="J12" s="1">
        <f t="shared" si="1"/>
        <v>0</v>
      </c>
      <c r="K12" s="1"/>
    </row>
    <row r="13" spans="2:14" x14ac:dyDescent="0.25">
      <c r="C13" s="1"/>
      <c r="D13" s="1"/>
      <c r="E13" s="1"/>
      <c r="F13" s="1"/>
      <c r="G13" s="1"/>
      <c r="H13" s="1"/>
      <c r="I13" s="1"/>
      <c r="J13" s="1">
        <f t="shared" si="1"/>
        <v>0</v>
      </c>
      <c r="K13" s="1"/>
    </row>
    <row r="14" spans="2:14" x14ac:dyDescent="0.25">
      <c r="B14" t="s">
        <v>27</v>
      </c>
      <c r="C14" s="1"/>
      <c r="D14" s="1"/>
      <c r="E14" s="1"/>
      <c r="F14" s="1"/>
      <c r="G14" s="1"/>
      <c r="H14" s="1"/>
      <c r="I14" s="1"/>
      <c r="J14" s="1">
        <f t="shared" si="1"/>
        <v>0</v>
      </c>
      <c r="K14" s="1"/>
    </row>
    <row r="15" spans="2:14" x14ac:dyDescent="0.25">
      <c r="B15" t="s">
        <v>28</v>
      </c>
      <c r="C15" s="1">
        <f>-6147010-9648925</f>
        <v>-15795935</v>
      </c>
      <c r="D15" s="1">
        <f>-2595031-3718726</f>
        <v>-6313757</v>
      </c>
      <c r="E15" s="1">
        <f>-1397325-2002391</f>
        <v>-3399716</v>
      </c>
      <c r="F15" s="1">
        <f>-1042519-2157151</f>
        <v>-3199670</v>
      </c>
      <c r="G15" s="1">
        <f>-446794-924493</f>
        <v>-1371287</v>
      </c>
      <c r="H15" s="1">
        <f>-665341-846164</f>
        <v>-1511505</v>
      </c>
      <c r="I15" s="1"/>
      <c r="J15" s="1">
        <f t="shared" si="1"/>
        <v>0</v>
      </c>
      <c r="K15" s="1"/>
    </row>
    <row r="16" spans="2:14" x14ac:dyDescent="0.25">
      <c r="B16" t="s">
        <v>29</v>
      </c>
      <c r="C16" s="1">
        <v>2837028</v>
      </c>
      <c r="D16" s="1">
        <v>1133982</v>
      </c>
      <c r="E16" s="1">
        <v>610606</v>
      </c>
      <c r="F16" s="1">
        <v>574677</v>
      </c>
      <c r="G16" s="1">
        <v>246290</v>
      </c>
      <c r="H16" s="1">
        <v>271474</v>
      </c>
      <c r="I16" s="1"/>
      <c r="J16" s="1">
        <f t="shared" si="1"/>
        <v>-1</v>
      </c>
      <c r="K16" s="1"/>
    </row>
    <row r="17" spans="1:14" x14ac:dyDescent="0.25">
      <c r="C17" s="1"/>
      <c r="D17" s="1"/>
      <c r="E17" s="1"/>
      <c r="F17" s="1"/>
      <c r="G17" s="1"/>
      <c r="H17" s="1"/>
      <c r="I17" s="1"/>
      <c r="J17" s="1">
        <f t="shared" si="1"/>
        <v>0</v>
      </c>
      <c r="K17" s="1"/>
    </row>
    <row r="18" spans="1:14" x14ac:dyDescent="0.25">
      <c r="B18" s="9" t="s">
        <v>30</v>
      </c>
      <c r="C18" s="1">
        <f>SUM(C12:C16)</f>
        <v>-119168231</v>
      </c>
      <c r="D18" s="1">
        <f t="shared" ref="D18:H18" si="3">SUM(D12:D16)</f>
        <v>-45928088</v>
      </c>
      <c r="E18" s="1">
        <f t="shared" si="3"/>
        <v>-24730509</v>
      </c>
      <c r="F18" s="1">
        <f t="shared" si="3"/>
        <v>-22278285</v>
      </c>
      <c r="G18" s="1">
        <f t="shared" si="3"/>
        <v>-9547836</v>
      </c>
      <c r="H18" s="1">
        <f t="shared" si="3"/>
        <v>-16683512</v>
      </c>
      <c r="I18" s="1"/>
      <c r="J18" s="1">
        <f t="shared" si="1"/>
        <v>-1</v>
      </c>
      <c r="K18" s="1"/>
    </row>
    <row r="20" spans="1:14" x14ac:dyDescent="0.25">
      <c r="B20" s="3"/>
    </row>
    <row r="21" spans="1:14" x14ac:dyDescent="0.25">
      <c r="A21">
        <v>1</v>
      </c>
      <c r="B21" s="3">
        <v>44470</v>
      </c>
      <c r="D21" s="1">
        <f>$D$1*L21</f>
        <v>2795618.2968336898</v>
      </c>
      <c r="E21" s="1"/>
      <c r="F21" s="1">
        <f>$F$1*N21</f>
        <v>811198.42507840251</v>
      </c>
      <c r="L21">
        <v>8.0814566439270652E-2</v>
      </c>
      <c r="N21">
        <v>8.0452090159516265E-2</v>
      </c>
    </row>
    <row r="22" spans="1:14" x14ac:dyDescent="0.25">
      <c r="A22">
        <v>2</v>
      </c>
      <c r="B22" s="3">
        <v>44501</v>
      </c>
      <c r="D22" s="1">
        <f t="shared" ref="D22:D32" si="4">$D$1*L22</f>
        <v>2862530.4569313778</v>
      </c>
      <c r="E22" s="1"/>
      <c r="F22" s="1">
        <f t="shared" ref="F22:F32" si="5">$F$1*N22</f>
        <v>1174137.5607490793</v>
      </c>
      <c r="L22">
        <v>8.2748835224796286E-2</v>
      </c>
      <c r="N22">
        <v>0.11644724395012192</v>
      </c>
    </row>
    <row r="23" spans="1:14" x14ac:dyDescent="0.25">
      <c r="A23">
        <v>3</v>
      </c>
      <c r="B23" s="3">
        <v>44531</v>
      </c>
      <c r="D23" s="1">
        <f t="shared" si="4"/>
        <v>3393818.2310987157</v>
      </c>
      <c r="E23" s="1"/>
      <c r="F23" s="1">
        <f t="shared" si="5"/>
        <v>1432710.0632181279</v>
      </c>
      <c r="L23">
        <v>9.8107080365932867E-2</v>
      </c>
      <c r="N23">
        <v>0.14209164566281146</v>
      </c>
    </row>
    <row r="24" spans="1:14" x14ac:dyDescent="0.25">
      <c r="A24">
        <v>4</v>
      </c>
      <c r="B24" s="3">
        <v>44562</v>
      </c>
      <c r="D24" s="1">
        <f t="shared" si="4"/>
        <v>3360849.8725257334</v>
      </c>
      <c r="E24" s="1"/>
      <c r="F24" s="1">
        <f t="shared" si="5"/>
        <v>1399832.2513737679</v>
      </c>
      <c r="L24">
        <v>9.7154044821950489E-2</v>
      </c>
      <c r="N24">
        <v>0.13883092843139619</v>
      </c>
    </row>
    <row r="25" spans="1:14" x14ac:dyDescent="0.25">
      <c r="A25">
        <v>5</v>
      </c>
      <c r="B25" s="3">
        <v>44593</v>
      </c>
      <c r="D25" s="1">
        <f t="shared" si="4"/>
        <v>2844615.6318524755</v>
      </c>
      <c r="E25" s="1"/>
      <c r="F25" s="1">
        <f t="shared" si="5"/>
        <v>1178140.5393480726</v>
      </c>
      <c r="L25">
        <v>8.2230960941591519E-2</v>
      </c>
      <c r="N25">
        <v>0.11684424668730264</v>
      </c>
    </row>
    <row r="26" spans="1:14" x14ac:dyDescent="0.25">
      <c r="A26">
        <v>6</v>
      </c>
      <c r="B26" s="3">
        <v>44621</v>
      </c>
      <c r="D26" s="1">
        <f t="shared" si="4"/>
        <v>2987920.5321790311</v>
      </c>
      <c r="E26" s="1"/>
      <c r="F26" s="1">
        <f t="shared" si="5"/>
        <v>1077548.3016759274</v>
      </c>
      <c r="L26">
        <v>8.6373559164542854E-2</v>
      </c>
      <c r="N26">
        <v>0.10686782720181764</v>
      </c>
    </row>
    <row r="27" spans="1:14" x14ac:dyDescent="0.25">
      <c r="A27">
        <v>7</v>
      </c>
      <c r="B27" s="3">
        <v>44652</v>
      </c>
      <c r="D27" s="1">
        <f t="shared" si="4"/>
        <v>2547077.8783759093</v>
      </c>
      <c r="E27" s="1"/>
      <c r="F27" s="1">
        <f t="shared" si="5"/>
        <v>784218.13146400079</v>
      </c>
      <c r="L27">
        <v>7.362986379833808E-2</v>
      </c>
      <c r="N27">
        <v>7.7776270104532461E-2</v>
      </c>
    </row>
    <row r="28" spans="1:14" x14ac:dyDescent="0.25">
      <c r="A28">
        <v>8</v>
      </c>
      <c r="B28" s="3">
        <v>44682</v>
      </c>
      <c r="D28" s="1">
        <f t="shared" si="4"/>
        <v>2685941.9677352174</v>
      </c>
      <c r="E28" s="1"/>
      <c r="F28" s="1">
        <f t="shared" si="5"/>
        <v>556036.30701028404</v>
      </c>
      <c r="L28">
        <v>7.764408891206942E-2</v>
      </c>
      <c r="N28">
        <v>5.5145919568608953E-2</v>
      </c>
    </row>
    <row r="29" spans="1:14" x14ac:dyDescent="0.25">
      <c r="A29">
        <v>9</v>
      </c>
      <c r="B29" s="3">
        <v>44713</v>
      </c>
      <c r="D29" s="1">
        <f t="shared" si="4"/>
        <v>2586190.1399515499</v>
      </c>
      <c r="E29" s="1"/>
      <c r="F29" s="1">
        <f t="shared" si="5"/>
        <v>415383.00056394446</v>
      </c>
      <c r="L29">
        <v>7.4760504724989157E-2</v>
      </c>
      <c r="N29">
        <v>4.119637018386834E-2</v>
      </c>
    </row>
    <row r="30" spans="1:14" x14ac:dyDescent="0.25">
      <c r="A30">
        <v>10</v>
      </c>
      <c r="B30" s="3">
        <v>44743</v>
      </c>
      <c r="D30" s="1">
        <f t="shared" si="4"/>
        <v>3041826.7567025945</v>
      </c>
      <c r="E30" s="1"/>
      <c r="F30" s="1">
        <f t="shared" si="5"/>
        <v>392091.88474352297</v>
      </c>
      <c r="L30">
        <v>8.7931857795004606E-2</v>
      </c>
      <c r="N30">
        <v>3.8886431096253393E-2</v>
      </c>
    </row>
    <row r="31" spans="1:14" x14ac:dyDescent="0.25">
      <c r="A31">
        <v>11</v>
      </c>
      <c r="B31" s="3">
        <v>44774</v>
      </c>
      <c r="D31" s="1">
        <f t="shared" si="4"/>
        <v>2902526.0272679585</v>
      </c>
      <c r="E31" s="1"/>
      <c r="F31" s="1">
        <f t="shared" si="5"/>
        <v>400633.54281173454</v>
      </c>
      <c r="L31">
        <v>8.3905010472290889E-2</v>
      </c>
      <c r="N31">
        <v>3.973356568597982E-2</v>
      </c>
    </row>
    <row r="32" spans="1:14" x14ac:dyDescent="0.25">
      <c r="A32">
        <v>12</v>
      </c>
      <c r="B32" s="3">
        <v>44805</v>
      </c>
      <c r="D32" s="1">
        <f t="shared" si="4"/>
        <v>2584084.2085457402</v>
      </c>
      <c r="E32" s="1"/>
      <c r="F32" s="1">
        <f t="shared" si="5"/>
        <v>461069.99196313578</v>
      </c>
      <c r="L32">
        <v>7.4699627339222974E-2</v>
      </c>
      <c r="N32">
        <v>4.5727461267790911E-2</v>
      </c>
    </row>
    <row r="34" spans="2:6" x14ac:dyDescent="0.25">
      <c r="B34" s="3">
        <v>44470</v>
      </c>
      <c r="D34" s="4">
        <f>D18+D21</f>
        <v>-43132469.703166313</v>
      </c>
      <c r="F34" s="4">
        <f>F18+F21</f>
        <v>-21467086.574921597</v>
      </c>
    </row>
    <row r="35" spans="2:6" x14ac:dyDescent="0.25">
      <c r="B35" s="3">
        <v>44501</v>
      </c>
      <c r="D35" s="4">
        <f>D34+D22</f>
        <v>-40269939.246234939</v>
      </c>
      <c r="F35" s="4">
        <f>F34+F22</f>
        <v>-20292949.014172517</v>
      </c>
    </row>
    <row r="36" spans="2:6" x14ac:dyDescent="0.25">
      <c r="B36" s="3">
        <v>44531</v>
      </c>
      <c r="D36" s="4">
        <f t="shared" ref="D36:F45" si="6">D35+D23</f>
        <v>-36876121.01513622</v>
      </c>
      <c r="F36" s="4">
        <f t="shared" si="6"/>
        <v>-18860238.950954389</v>
      </c>
    </row>
    <row r="37" spans="2:6" x14ac:dyDescent="0.25">
      <c r="B37" s="3">
        <v>44562</v>
      </c>
      <c r="D37" s="4">
        <f t="shared" si="6"/>
        <v>-33515271.142610487</v>
      </c>
      <c r="F37" s="4">
        <f t="shared" si="6"/>
        <v>-17460406.699580621</v>
      </c>
    </row>
    <row r="38" spans="2:6" x14ac:dyDescent="0.25">
      <c r="B38" s="3">
        <v>44593</v>
      </c>
      <c r="D38" s="4">
        <f t="shared" si="6"/>
        <v>-30670655.510758013</v>
      </c>
      <c r="F38" s="4">
        <f t="shared" si="6"/>
        <v>-16282266.160232548</v>
      </c>
    </row>
    <row r="39" spans="2:6" x14ac:dyDescent="0.25">
      <c r="B39" s="3">
        <v>44621</v>
      </c>
      <c r="D39" s="4">
        <f t="shared" si="6"/>
        <v>-27682734.978578981</v>
      </c>
      <c r="F39" s="4">
        <f t="shared" si="6"/>
        <v>-15204717.858556621</v>
      </c>
    </row>
    <row r="40" spans="2:6" x14ac:dyDescent="0.25">
      <c r="B40" s="3">
        <v>44652</v>
      </c>
      <c r="D40" s="4">
        <f t="shared" si="6"/>
        <v>-25135657.100203071</v>
      </c>
      <c r="F40" s="4">
        <f t="shared" si="6"/>
        <v>-14420499.72709262</v>
      </c>
    </row>
    <row r="41" spans="2:6" x14ac:dyDescent="0.25">
      <c r="B41" s="3">
        <v>44682</v>
      </c>
      <c r="D41" s="4">
        <f t="shared" si="6"/>
        <v>-22449715.132467855</v>
      </c>
      <c r="F41" s="4">
        <f t="shared" si="6"/>
        <v>-13864463.420082336</v>
      </c>
    </row>
    <row r="42" spans="2:6" x14ac:dyDescent="0.25">
      <c r="B42" s="3">
        <v>44713</v>
      </c>
      <c r="D42" s="4">
        <f t="shared" si="6"/>
        <v>-19863524.992516305</v>
      </c>
      <c r="F42" s="4">
        <f t="shared" si="6"/>
        <v>-13449080.419518393</v>
      </c>
    </row>
    <row r="43" spans="2:6" x14ac:dyDescent="0.25">
      <c r="B43" s="3">
        <v>44743</v>
      </c>
      <c r="D43" s="4">
        <f t="shared" si="6"/>
        <v>-16821698.235813711</v>
      </c>
      <c r="F43" s="4">
        <f t="shared" si="6"/>
        <v>-13056988.53477487</v>
      </c>
    </row>
    <row r="44" spans="2:6" x14ac:dyDescent="0.25">
      <c r="B44" s="3">
        <v>44774</v>
      </c>
      <c r="D44" s="4">
        <f t="shared" si="6"/>
        <v>-13919172.208545752</v>
      </c>
      <c r="F44" s="4">
        <f t="shared" si="6"/>
        <v>-12656354.991963135</v>
      </c>
    </row>
    <row r="45" spans="2:6" x14ac:dyDescent="0.25">
      <c r="B45" s="3">
        <v>44805</v>
      </c>
      <c r="D45" s="4">
        <f t="shared" si="6"/>
        <v>-11335088.000000011</v>
      </c>
      <c r="F45" s="4">
        <f t="shared" si="6"/>
        <v>-12195285</v>
      </c>
    </row>
    <row r="47" spans="2:6" x14ac:dyDescent="0.25">
      <c r="D47" s="4">
        <f>(((D18+D45)/2)+D34+D35+D36+D37+D38+D39+D40+D41+D42+D43+D44)/12</f>
        <v>-28247378.938835967</v>
      </c>
      <c r="F47" s="4">
        <f>(((F18+F45)/2)+F34+F35+F36+F37+F38+F39+F40+F41+F42+F43+F44)/12</f>
        <v>-16187653.112654136</v>
      </c>
    </row>
    <row r="49" spans="2:6" x14ac:dyDescent="0.25">
      <c r="B49" t="s">
        <v>26</v>
      </c>
      <c r="D49" s="10">
        <f>D47-D18</f>
        <v>17680709.061164033</v>
      </c>
      <c r="E49" s="4"/>
      <c r="F49" s="10">
        <f t="shared" ref="F49" si="7">F47-F18</f>
        <v>6090631.8873458635</v>
      </c>
    </row>
    <row r="52" spans="2:6" x14ac:dyDescent="0.25">
      <c r="B52" t="s">
        <v>15</v>
      </c>
      <c r="D52" s="5">
        <v>0.5</v>
      </c>
      <c r="F52" s="5">
        <v>0.5</v>
      </c>
    </row>
    <row r="53" spans="2:6" x14ac:dyDescent="0.25">
      <c r="B53" t="s">
        <v>16</v>
      </c>
      <c r="D53" s="6">
        <v>4.965E-2</v>
      </c>
      <c r="F53" s="6">
        <v>4.9657E-2</v>
      </c>
    </row>
    <row r="54" spans="2:6" x14ac:dyDescent="0.25">
      <c r="B54" t="s">
        <v>17</v>
      </c>
      <c r="D54" s="5">
        <v>0.5</v>
      </c>
      <c r="F54" s="5">
        <v>0.5</v>
      </c>
    </row>
    <row r="55" spans="2:6" x14ac:dyDescent="0.25">
      <c r="B55" t="s">
        <v>18</v>
      </c>
      <c r="D55" s="6">
        <v>9.9000000000000005E-2</v>
      </c>
      <c r="F55" s="6">
        <v>9.9000000000000005E-2</v>
      </c>
    </row>
    <row r="56" spans="2:6" ht="15.75" thickBot="1" x14ac:dyDescent="0.3">
      <c r="B56" t="s">
        <v>19</v>
      </c>
      <c r="D56" s="7">
        <f>(D52*D53)+(D54*D55)</f>
        <v>7.4325000000000002E-2</v>
      </c>
      <c r="F56" s="7">
        <f>(F52*F53)+(F54*F55)</f>
        <v>7.4328500000000006E-2</v>
      </c>
    </row>
    <row r="58" spans="2:6" x14ac:dyDescent="0.25">
      <c r="B58" t="s">
        <v>20</v>
      </c>
      <c r="D58">
        <v>0.75529400000000002</v>
      </c>
      <c r="F58">
        <v>0.755463</v>
      </c>
    </row>
    <row r="60" spans="2:6" x14ac:dyDescent="0.25">
      <c r="B60" t="s">
        <v>21</v>
      </c>
      <c r="D60" s="1">
        <f>(D49*(D52*D53))*-0.21</f>
        <v>-92173.956513113386</v>
      </c>
      <c r="F60" s="1">
        <f>(F49*(F52*F53))*-0.21</f>
        <v>-31756.46330114302</v>
      </c>
    </row>
    <row r="62" spans="2:6" x14ac:dyDescent="0.25">
      <c r="B62" t="s">
        <v>22</v>
      </c>
      <c r="D62" s="8">
        <f>((D49*D56)+D60)/D58</f>
        <v>1617839.8669364555</v>
      </c>
      <c r="F62" s="8">
        <f>((F49*F56)+F60)/F58</f>
        <v>557209.37880140264</v>
      </c>
    </row>
    <row r="64" spans="2:6" x14ac:dyDescent="0.25">
      <c r="B64" t="s">
        <v>23</v>
      </c>
      <c r="D64" s="14">
        <v>34593000</v>
      </c>
      <c r="E64" s="14"/>
      <c r="F64" s="14">
        <v>10083000</v>
      </c>
    </row>
    <row r="65" spans="2:6" x14ac:dyDescent="0.25">
      <c r="B65" t="s">
        <v>24</v>
      </c>
      <c r="D65" s="1">
        <f>-D64/D58</f>
        <v>-45800708.068646118</v>
      </c>
      <c r="F65" s="1">
        <f>-F64/F58</f>
        <v>-13346782.039623383</v>
      </c>
    </row>
    <row r="67" spans="2:6" x14ac:dyDescent="0.25">
      <c r="B67" t="s">
        <v>37</v>
      </c>
      <c r="D67" s="8">
        <f>SUM(D62,D65)</f>
        <v>-44182868.201709665</v>
      </c>
      <c r="F67" s="8">
        <f>SUM(F62,F65)</f>
        <v>-12789572.660821982</v>
      </c>
    </row>
    <row r="68" spans="2:6" x14ac:dyDescent="0.25">
      <c r="B68" t="s">
        <v>38</v>
      </c>
      <c r="D68" s="1">
        <v>44183000</v>
      </c>
      <c r="F68" s="1">
        <v>12790000</v>
      </c>
    </row>
    <row r="69" spans="2:6" x14ac:dyDescent="0.25">
      <c r="B69" t="s">
        <v>39</v>
      </c>
      <c r="D69" s="8">
        <f>SUM(D67:D68)</f>
        <v>131.79829033464193</v>
      </c>
      <c r="E69" s="8"/>
      <c r="F69" s="8">
        <f t="shared" ref="F69" si="8">SUM(F67:F68)</f>
        <v>427.33917801827192</v>
      </c>
    </row>
    <row r="71" spans="2:6" x14ac:dyDescent="0.25">
      <c r="C71" s="2"/>
      <c r="D71" s="13"/>
      <c r="E71" s="2"/>
    </row>
    <row r="72" spans="2:6" x14ac:dyDescent="0.25">
      <c r="C72" s="2" t="s">
        <v>20</v>
      </c>
      <c r="D72" s="2"/>
      <c r="E72" s="2" t="s">
        <v>20</v>
      </c>
    </row>
    <row r="73" spans="2:6" x14ac:dyDescent="0.25">
      <c r="B73" t="s">
        <v>32</v>
      </c>
      <c r="C73">
        <v>3.326E-3</v>
      </c>
      <c r="D73" s="1">
        <f>C73*$D$65</f>
        <v>-152333.15503631698</v>
      </c>
      <c r="E73">
        <v>3.326E-3</v>
      </c>
      <c r="F73" s="1">
        <f>E73*$F$65</f>
        <v>-44391.397063787372</v>
      </c>
    </row>
    <row r="74" spans="2:6" x14ac:dyDescent="0.25">
      <c r="B74" t="s">
        <v>33</v>
      </c>
      <c r="C74">
        <v>2E-3</v>
      </c>
      <c r="D74" s="1">
        <f t="shared" ref="D74:D75" si="9">C74*$D$65</f>
        <v>-91601.416137292239</v>
      </c>
      <c r="E74">
        <v>2E-3</v>
      </c>
      <c r="F74" s="1">
        <f t="shared" ref="F74" si="10">E74*$F$65</f>
        <v>-26693.564079246768</v>
      </c>
    </row>
    <row r="75" spans="2:6" x14ac:dyDescent="0.25">
      <c r="B75" t="s">
        <v>34</v>
      </c>
      <c r="C75">
        <v>3.8605E-2</v>
      </c>
      <c r="D75" s="1">
        <f t="shared" si="9"/>
        <v>-1768136.3349900835</v>
      </c>
      <c r="E75">
        <v>3.8392000000000003E-2</v>
      </c>
      <c r="F75" s="1">
        <f>E75*$F$65</f>
        <v>-512409.65606522094</v>
      </c>
    </row>
    <row r="76" spans="2:6" x14ac:dyDescent="0.25">
      <c r="D76" s="1">
        <f>SUM(D73:D75)</f>
        <v>-2012070.9061636927</v>
      </c>
      <c r="F76" s="4">
        <f>SUM(F73:F75)</f>
        <v>-583494.61720825511</v>
      </c>
    </row>
    <row r="77" spans="2:6" x14ac:dyDescent="0.25">
      <c r="D77" s="1"/>
    </row>
    <row r="78" spans="2:6" x14ac:dyDescent="0.25">
      <c r="D78" s="1"/>
    </row>
    <row r="79" spans="2:6" x14ac:dyDescent="0.25">
      <c r="B79" t="s">
        <v>35</v>
      </c>
      <c r="D79" s="11">
        <f>D65-D76</f>
        <v>-43788637.162482426</v>
      </c>
      <c r="F79" s="11">
        <f>F65-F76</f>
        <v>-12763287.422415128</v>
      </c>
    </row>
  </sheetData>
  <pageMargins left="0.7" right="0.7" top="0.75" bottom="0.75" header="0.3" footer="0.3"/>
  <pageSetup scale="59" orientation="portrait" r:id="rId1"/>
  <headerFooter>
    <oddFooter>&amp;LAVISTA
&amp;F
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8"/>
  <sheetViews>
    <sheetView workbookViewId="0">
      <selection activeCell="G6" sqref="G6:H6"/>
    </sheetView>
  </sheetViews>
  <sheetFormatPr defaultRowHeight="15" x14ac:dyDescent="0.25"/>
  <cols>
    <col min="1" max="1" width="14.28515625" bestFit="1" customWidth="1"/>
    <col min="2" max="2" width="13.7109375" bestFit="1" customWidth="1"/>
    <col min="3" max="3" width="22.85546875" bestFit="1" customWidth="1"/>
    <col min="4" max="4" width="16.28515625" customWidth="1"/>
    <col min="5" max="5" width="1.5703125" customWidth="1"/>
    <col min="6" max="6" width="14.28515625" bestFit="1" customWidth="1"/>
    <col min="7" max="7" width="15.140625" bestFit="1" customWidth="1"/>
    <col min="8" max="8" width="23" bestFit="1" customWidth="1"/>
    <col min="9" max="9" width="13.28515625" bestFit="1" customWidth="1"/>
    <col min="11" max="11" width="10.5703125" bestFit="1" customWidth="1"/>
  </cols>
  <sheetData>
    <row r="1" spans="1:15" x14ac:dyDescent="0.25">
      <c r="C1">
        <v>4.3930999999999998E-2</v>
      </c>
      <c r="D1">
        <v>0.21</v>
      </c>
      <c r="H1">
        <v>4.3930999999999998E-2</v>
      </c>
      <c r="I1">
        <v>0.21</v>
      </c>
    </row>
    <row r="3" spans="1:15" ht="15.75" thickBot="1" x14ac:dyDescent="0.3"/>
    <row r="4" spans="1:15" ht="15.75" thickBot="1" x14ac:dyDescent="0.3">
      <c r="A4" s="18" t="s">
        <v>41</v>
      </c>
      <c r="B4" s="19"/>
      <c r="C4" s="19"/>
      <c r="D4" s="20"/>
      <c r="F4" s="18" t="s">
        <v>40</v>
      </c>
      <c r="G4" s="19"/>
      <c r="H4" s="19"/>
      <c r="I4" s="20"/>
      <c r="K4" s="16" t="s">
        <v>48</v>
      </c>
    </row>
    <row r="5" spans="1:15" x14ac:dyDescent="0.25">
      <c r="A5" t="s">
        <v>47</v>
      </c>
      <c r="B5" t="s">
        <v>46</v>
      </c>
      <c r="C5" t="s">
        <v>43</v>
      </c>
      <c r="D5" t="s">
        <v>42</v>
      </c>
      <c r="F5" t="s">
        <v>45</v>
      </c>
      <c r="G5" t="s">
        <v>44</v>
      </c>
      <c r="H5" t="s">
        <v>43</v>
      </c>
      <c r="I5" t="s">
        <v>42</v>
      </c>
    </row>
    <row r="6" spans="1:15" x14ac:dyDescent="0.25">
      <c r="A6" s="1">
        <v>-44183000</v>
      </c>
      <c r="B6" s="1">
        <f>-A6</f>
        <v>44183000</v>
      </c>
      <c r="C6" s="1">
        <f>-B6*$C$1</f>
        <v>-1941003.3729999999</v>
      </c>
      <c r="D6" s="1">
        <f>(B6+C6)*-$D$1</f>
        <v>-8870819.2916699983</v>
      </c>
      <c r="E6" s="1"/>
      <c r="F6" s="1">
        <v>45836546</v>
      </c>
      <c r="G6" s="1">
        <f>-F6</f>
        <v>-45836546</v>
      </c>
      <c r="H6" s="1">
        <f>-G6*$H$1</f>
        <v>2013645.3023259998</v>
      </c>
      <c r="I6" s="1">
        <f>(G6+H6)*-$I$1</f>
        <v>9202809.1465115398</v>
      </c>
      <c r="J6" s="1"/>
      <c r="K6" s="1">
        <f>SUM(B6,C6,D6,G6,H6,I6)</f>
        <v>-1248914.2158324625</v>
      </c>
      <c r="L6" s="1"/>
      <c r="M6" s="1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</sheetData>
  <mergeCells count="2">
    <mergeCell ref="A4:D4"/>
    <mergeCell ref="F4:I4"/>
  </mergeCells>
  <pageMargins left="0.7" right="0.7" top="0.75" bottom="0.75" header="0.3" footer="0.3"/>
  <pageSetup scale="79" orientation="landscape" r:id="rId1"/>
  <headerFooter>
    <oddFooter>&amp;LAVISTA
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BF22F27-139F-4B5A-8506-CCFCF0D4A34C}"/>
</file>

<file path=customXml/itemProps2.xml><?xml version="1.0" encoding="utf-8"?>
<ds:datastoreItem xmlns:ds="http://schemas.openxmlformats.org/officeDocument/2006/customXml" ds:itemID="{05EF1544-CAE7-486C-B7C3-4CDC022F8E7A}"/>
</file>

<file path=customXml/itemProps3.xml><?xml version="1.0" encoding="utf-8"?>
<ds:datastoreItem xmlns:ds="http://schemas.openxmlformats.org/officeDocument/2006/customXml" ds:itemID="{F4E59004-E705-4858-A69D-8507A76C22BA}"/>
</file>

<file path=customXml/itemProps4.xml><?xml version="1.0" encoding="utf-8"?>
<ds:datastoreItem xmlns:ds="http://schemas.openxmlformats.org/officeDocument/2006/customXml" ds:itemID="{5FD234DA-47DF-4F19-A0D0-1E562F89B4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Adjustment</vt:lpstr>
      <vt:lpstr>Year 1</vt:lpstr>
      <vt:lpstr>JE</vt:lpstr>
      <vt:lpstr>Adjustment!Print_Area</vt:lpstr>
      <vt:lpstr>'Year 1'!Print_Area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Andrews, Liz</cp:lastModifiedBy>
  <cp:lastPrinted>2020-10-24T01:26:06Z</cp:lastPrinted>
  <dcterms:created xsi:type="dcterms:W3CDTF">2020-09-29T20:00:16Z</dcterms:created>
  <dcterms:modified xsi:type="dcterms:W3CDTF">2020-10-24T01:27:23Z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