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20" tabRatio="780" activeTab="2"/>
  </bookViews>
  <sheets>
    <sheet name="Redacted" sheetId="1" r:id="rId1"/>
    <sheet name="1 - Cost of Capital" sheetId="2" r:id="rId2"/>
    <sheet name="2 - Cost of Total Debt (R)" sheetId="3" r:id="rId3"/>
    <sheet name="3 - STD Int &amp; Fees-Details" sheetId="4" r:id="rId4"/>
    <sheet name="4 - Reacquired Deb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1">'1 - Cost of Capital'!$A$1:$F$42</definedName>
    <definedName name="_xlnm.Print_Area" localSheetId="2">'2 - Cost of Total Debt (R)'!$A$1:$J$47</definedName>
    <definedName name="_xlnm.Print_Area" localSheetId="3">'3 - STD Int &amp; Fees-Details'!$A$1:$P$64</definedName>
    <definedName name="_xlnm.Print_Area" localSheetId="4">'4 - Reacquired Debt'!$A$1:$K$29</definedName>
    <definedName name="_xlnm.Print_Area" localSheetId="0">'Redacted'!$A$1:$Q$12</definedName>
    <definedName name="_xlnm.Print_Titles" localSheetId="4">'4 - 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sharedStrings.xml><?xml version="1.0" encoding="utf-8"?>
<sst xmlns="http://schemas.openxmlformats.org/spreadsheetml/2006/main" count="251" uniqueCount="156">
  <si>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</si>
  <si>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</si>
  <si>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</si>
  <si>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</si>
  <si>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</si>
  <si>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</si>
  <si>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</si>
  <si>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</si>
  <si>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</si>
  <si>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</si>
  <si>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</si>
  <si>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</si>
  <si>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</si>
  <si>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</si>
  <si>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</si>
  <si>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</si>
  <si>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</si>
  <si>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</si>
  <si>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</si>
  <si>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</si>
  <si>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</si>
  <si>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</si>
  <si>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</si>
  <si>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</si>
  <si>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</si>
  <si>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</si>
  <si>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</si>
  <si>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</si>
  <si>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</si>
  <si>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</si>
  <si>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</si>
  <si>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</si>
  <si>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</si>
  <si>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</si>
  <si>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</si>
  <si>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</si>
  <si>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</si>
  <si>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</si>
  <si>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</si>
  <si>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</si>
  <si>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</si>
  <si>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</si>
  <si>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</si>
  <si>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</si>
  <si>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</si>
  <si>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</si>
  <si>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</si>
  <si>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2003 PCB's</t>
  </si>
  <si>
    <t>30 Yr 6.724%</t>
  </si>
  <si>
    <t>Amortization (i)</t>
  </si>
  <si>
    <t>Redemption</t>
  </si>
  <si>
    <t>Refinance</t>
  </si>
  <si>
    <t>for Amort.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</si>
  <si>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</si>
  <si>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</si>
  <si>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</si>
  <si>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</si>
  <si>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</si>
  <si>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</si>
  <si>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</si>
  <si>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</si>
  <si>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</si>
  <si>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</si>
  <si>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</si>
  <si>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</si>
  <si>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</si>
  <si>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</si>
  <si>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</si>
  <si>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</si>
  <si>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STD Average Balance (in 000's)</t>
  </si>
  <si>
    <t>Borrowings (000's):</t>
  </si>
  <si>
    <t>Commercial Paper (CP)</t>
  </si>
  <si>
    <t>Credit Facilities</t>
  </si>
  <si>
    <t>Total Short-term Debt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</si>
  <si>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</si>
  <si>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</si>
  <si>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</si>
  <si>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</si>
  <si>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</si>
  <si>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</si>
  <si>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</si>
  <si>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</si>
  <si>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</si>
  <si>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</si>
  <si>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</si>
  <si>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</si>
  <si>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</si>
  <si>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</si>
  <si>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</si>
  <si>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</si>
  <si>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</si>
  <si>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</si>
  <si>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</si>
  <si>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</si>
  <si>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</si>
  <si>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</si>
  <si>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</si>
  <si>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</si>
  <si>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</si>
  <si>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</si>
  <si>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</si>
  <si>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</si>
  <si>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</si>
  <si>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</si>
  <si>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</si>
  <si>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</si>
  <si>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</si>
  <si>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</si>
  <si>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</si>
  <si>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</si>
  <si>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</si>
  <si>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</si>
  <si>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</si>
  <si>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</si>
  <si>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</si>
  <si>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</si>
  <si>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</si>
  <si>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</si>
  <si>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</si>
  <si>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</si>
  <si>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</si>
  <si>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</si>
  <si>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</si>
  <si>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</si>
  <si>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</si>
  <si>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</si>
  <si>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</si>
  <si>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</si>
  <si>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</si>
  <si>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</si>
  <si>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Jr. Subordinated Notes</t>
  </si>
  <si>
    <t>$800mm Liquidity Fac (18100683)</t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</si>
  <si>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</si>
  <si>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(iii)</t>
  </si>
  <si>
    <t>For The 12 Months Ended December 31, 2025</t>
  </si>
  <si>
    <t>Requested For Rate Year January 2025 through December 2025</t>
  </si>
  <si>
    <t>LTD Average Balance (in 000's)</t>
  </si>
  <si>
    <t>Total STD and LTD</t>
  </si>
  <si>
    <t>Total Long-term Debt Cost of Interest on AMA basis</t>
  </si>
  <si>
    <t>Short Term Debt Allocation</t>
  </si>
  <si>
    <t>Long Term Debt Allocation</t>
  </si>
  <si>
    <t>Debt Allocation of the Total Capitalization</t>
  </si>
  <si>
    <t>Projected LIBOR Rates (1 mo)</t>
  </si>
  <si>
    <t>Average</t>
  </si>
  <si>
    <t>Total First Mortgage Bonds and Senior Notes at the end of the year</t>
  </si>
  <si>
    <t xml:space="preserve">Shaded information is designated as confidential per WAC 480-07-160
</t>
  </si>
  <si>
    <t>This file contains confidential information</t>
  </si>
  <si>
    <t>Shaded information is designated as confidential per WAC 480-07-160</t>
  </si>
  <si>
    <t/>
  </si>
  <si>
    <t>xx</t>
  </si>
  <si>
    <t>xxx</t>
  </si>
  <si>
    <t>xxxx</t>
  </si>
  <si>
    <t>xxxxx</t>
  </si>
  <si>
    <t>xxxxxxx</t>
  </si>
  <si>
    <t>Redacted Version</t>
  </si>
  <si>
    <t>Revised figures in red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</si>
</sst>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66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26"/>
      <name val="Arial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20"/>
      <color indexed="8"/>
      <name val="Calibri"/>
      <family val="2"/>
    </font>
    <font>
      <sz val="8"/>
      <color rgb="FF0000FF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Calibri"/>
      <family val="2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20"/>
      <color theme="1"/>
      <name val="Calibri"/>
      <family val="2"/>
    </font>
    <font>
      <sz val="11"/>
      <color rgb="FFFF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n">
        <color rgb="FFFFFF00"/>
      </right>
      <top style="thin">
        <color rgb="FFFFFF00"/>
      </top>
      <bottom>
        <color indexed="63"/>
      </bottom>
    </border>
    <border>
      <left>
        <color indexed="63"/>
      </left>
      <right style="thin">
        <color rgb="FFFFFF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 style="thin">
        <color rgb="FFFFFF00"/>
      </right>
      <top>
        <color indexed="63"/>
      </top>
      <bottom style="thin">
        <color rgb="FFFFFF00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>
        <color rgb="FFFFFF00"/>
      </left>
      <right>
        <color indexed="63"/>
      </right>
      <top style="thin">
        <color rgb="FFFFFF00"/>
      </top>
      <bottom style="thin">
        <color rgb="FFFFFF00"/>
      </bottom>
    </border>
    <border>
      <left>
        <color indexed="63"/>
      </left>
      <right>
        <color indexed="63"/>
      </right>
      <top style="thin">
        <color rgb="FFFFFF00"/>
      </top>
      <bottom style="thin">
        <color rgb="FFFFFF00"/>
      </bottom>
    </border>
    <border>
      <left>
        <color indexed="63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>
        <color rgb="FFFFFF00"/>
      </left>
      <right>
        <color indexed="63"/>
      </right>
      <top style="thin">
        <color rgb="FFFFFF00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 style="thin">
        <color rgb="FFFFFF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FFFF00"/>
      </left>
      <right/>
      <top style="medium">
        <color rgb="FFFFFF00"/>
      </top>
      <bottom/>
    </border>
    <border>
      <left/>
      <right/>
      <top style="medium">
        <color rgb="FFFFFF00"/>
      </top>
      <bottom/>
    </border>
    <border>
      <left/>
      <right style="medium">
        <color rgb="FFFFFF00"/>
      </right>
      <top style="medium">
        <color rgb="FFFFFF00"/>
      </top>
      <bottom/>
    </border>
    <border>
      <left style="medium">
        <color rgb="FFFFFF00"/>
      </left>
      <right/>
      <top/>
      <bottom style="medium">
        <color rgb="FFFFFF00"/>
      </bottom>
    </border>
    <border>
      <left/>
      <right/>
      <top/>
      <bottom style="medium">
        <color rgb="FFFFFF00"/>
      </bottom>
    </border>
    <border>
      <left/>
      <right style="medium">
        <color rgb="FFFFFF00"/>
      </right>
      <top/>
      <bottom style="medium">
        <color rgb="FFFFFF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7" fontId="0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9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9" fillId="4" borderId="7" applyNumberFormat="0" applyFont="0" applyAlignment="0" applyProtection="0"/>
    <xf numFmtId="0" fontId="9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38">
    <xf numFmtId="37" fontId="0" fillId="0" borderId="0" xfId="0" applyAlignment="1">
      <alignment/>
    </xf>
    <xf numFmtId="10" fontId="3" fillId="0" borderId="0" xfId="111" applyFont="1">
      <alignment/>
      <protection/>
    </xf>
    <xf numFmtId="10" fontId="3" fillId="0" borderId="0" xfId="111" applyFont="1" applyAlignment="1">
      <alignment horizontal="centerContinuous"/>
      <protection/>
    </xf>
    <xf numFmtId="1" fontId="3" fillId="0" borderId="0" xfId="111" applyNumberFormat="1" applyFont="1" applyAlignment="1" applyProtection="1">
      <alignment horizontal="center"/>
      <protection/>
    </xf>
    <xf numFmtId="5" fontId="3" fillId="0" borderId="0" xfId="111" applyNumberFormat="1" applyFont="1" applyProtection="1">
      <alignment/>
      <protection/>
    </xf>
    <xf numFmtId="165" fontId="3" fillId="0" borderId="0" xfId="111" applyNumberFormat="1" applyFont="1" applyProtection="1">
      <alignment/>
      <protection/>
    </xf>
    <xf numFmtId="10" fontId="3" fillId="0" borderId="0" xfId="111" applyNumberFormat="1" applyFont="1" applyProtection="1">
      <alignment/>
      <protection/>
    </xf>
    <xf numFmtId="37" fontId="3" fillId="0" borderId="0" xfId="109" applyFont="1">
      <alignment/>
      <protection/>
    </xf>
    <xf numFmtId="37" fontId="3" fillId="0" borderId="0" xfId="109" applyFont="1" applyAlignment="1" applyProtection="1">
      <alignment horizontal="center"/>
      <protection/>
    </xf>
    <xf numFmtId="37" fontId="5" fillId="0" borderId="0" xfId="109" applyFont="1" applyAlignment="1">
      <alignment horizontal="center"/>
      <protection/>
    </xf>
    <xf numFmtId="5" fontId="3" fillId="0" borderId="0" xfId="109" applyNumberFormat="1" applyFont="1">
      <alignment/>
      <protection/>
    </xf>
    <xf numFmtId="37" fontId="6" fillId="0" borderId="0" xfId="109" applyFont="1">
      <alignment/>
      <protection/>
    </xf>
    <xf numFmtId="37" fontId="6" fillId="0" borderId="0" xfId="109" applyFont="1" applyFill="1">
      <alignment/>
      <protection/>
    </xf>
    <xf numFmtId="15" fontId="3" fillId="0" borderId="0" xfId="109" applyNumberFormat="1" applyFont="1" applyProtection="1">
      <alignment/>
      <protection/>
    </xf>
    <xf numFmtId="0" fontId="3" fillId="0" borderId="0" xfId="112" applyFont="1" applyAlignment="1" applyProtection="1">
      <alignment horizontal="left"/>
      <protection/>
    </xf>
    <xf numFmtId="0" fontId="4" fillId="0" borderId="0" xfId="112" applyFont="1">
      <alignment/>
      <protection/>
    </xf>
    <xf numFmtId="5" fontId="4" fillId="0" borderId="0" xfId="112" applyNumberFormat="1" applyFont="1" applyProtection="1">
      <alignment/>
      <protection/>
    </xf>
    <xf numFmtId="37" fontId="7" fillId="0" borderId="0" xfId="109" applyFont="1" applyFill="1" applyAlignment="1">
      <alignment horizontal="center"/>
      <protection/>
    </xf>
    <xf numFmtId="5" fontId="6" fillId="0" borderId="0" xfId="109" applyNumberFormat="1" applyFont="1" applyFill="1">
      <alignment/>
      <protection/>
    </xf>
    <xf numFmtId="37" fontId="6" fillId="0" borderId="0" xfId="109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37" fontId="7" fillId="0" borderId="0" xfId="109" applyFont="1" applyFill="1" applyAlignment="1" applyProtection="1">
      <alignment horizontal="center"/>
      <protection/>
    </xf>
    <xf numFmtId="10" fontId="6" fillId="0" borderId="0" xfId="109" applyNumberFormat="1" applyFont="1" applyFill="1" applyProtection="1">
      <alignment/>
      <protection/>
    </xf>
    <xf numFmtId="168" fontId="6" fillId="0" borderId="0" xfId="109" applyNumberFormat="1" applyFont="1" applyFill="1" applyAlignment="1" applyProtection="1">
      <alignment horizontal="fill"/>
      <protection/>
    </xf>
    <xf numFmtId="166" fontId="3" fillId="0" borderId="0" xfId="109" applyNumberFormat="1" applyFont="1" applyFill="1">
      <alignment/>
      <protection/>
    </xf>
    <xf numFmtId="15" fontId="11" fillId="0" borderId="0" xfId="112" applyNumberFormat="1" applyFont="1" applyBorder="1" applyAlignment="1">
      <alignment horizontal="left"/>
      <protection/>
    </xf>
    <xf numFmtId="37" fontId="10" fillId="0" borderId="0" xfId="0" applyFont="1" applyBorder="1" applyAlignment="1">
      <alignment/>
    </xf>
    <xf numFmtId="37" fontId="12" fillId="0" borderId="0" xfId="109" applyFont="1">
      <alignment/>
      <protection/>
    </xf>
    <xf numFmtId="0" fontId="15" fillId="0" borderId="0" xfId="112" applyFont="1">
      <alignment/>
      <protection/>
    </xf>
    <xf numFmtId="0" fontId="4" fillId="0" borderId="0" xfId="112" applyFont="1" applyFill="1">
      <alignment/>
      <protection/>
    </xf>
    <xf numFmtId="0" fontId="4" fillId="0" borderId="0" xfId="112" applyFont="1" applyAlignment="1">
      <alignment horizontal="center"/>
      <protection/>
    </xf>
    <xf numFmtId="37" fontId="3" fillId="0" borderId="0" xfId="111" applyNumberFormat="1" applyFont="1">
      <alignment/>
      <protection/>
    </xf>
    <xf numFmtId="5" fontId="12" fillId="0" borderId="0" xfId="109" applyNumberFormat="1" applyFont="1" applyFill="1">
      <alignment/>
      <protection/>
    </xf>
    <xf numFmtId="5" fontId="3" fillId="0" borderId="0" xfId="109" applyNumberFormat="1" applyFont="1" applyFill="1">
      <alignment/>
      <protection/>
    </xf>
    <xf numFmtId="37" fontId="3" fillId="0" borderId="0" xfId="109" applyFont="1" applyFill="1">
      <alignment/>
      <protection/>
    </xf>
    <xf numFmtId="5" fontId="32" fillId="0" borderId="0" xfId="107" applyNumberFormat="1" applyFont="1" applyFill="1" applyBorder="1" applyAlignment="1" applyProtection="1">
      <alignment horizontal="left"/>
      <protection/>
    </xf>
    <xf numFmtId="170" fontId="3" fillId="0" borderId="0" xfId="111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7" applyNumberFormat="1" applyFont="1" applyAlignment="1">
      <alignment/>
    </xf>
    <xf numFmtId="0" fontId="33" fillId="0" borderId="0" xfId="107" applyFont="1" applyBorder="1" applyAlignment="1" applyProtection="1">
      <alignment horizontal="centerContinuous" vertical="center" wrapText="1"/>
      <protection/>
    </xf>
    <xf numFmtId="10" fontId="5" fillId="0" borderId="0" xfId="111" applyFont="1" applyAlignment="1">
      <alignment horizontal="centerContinuous"/>
      <protection/>
    </xf>
    <xf numFmtId="172" fontId="5" fillId="0" borderId="0" xfId="111" applyNumberFormat="1" applyFont="1" applyBorder="1" applyAlignment="1" applyProtection="1">
      <alignment horizontal="centerContinuous" vertical="center" wrapText="1"/>
      <protection/>
    </xf>
    <xf numFmtId="1" fontId="12" fillId="0" borderId="0" xfId="111" applyNumberFormat="1" applyFont="1" applyAlignment="1" applyProtection="1">
      <alignment horizontal="center"/>
      <protection/>
    </xf>
    <xf numFmtId="37" fontId="34" fillId="0" borderId="0" xfId="108" applyFont="1" applyAlignment="1" applyProtection="1">
      <alignment horizontal="center"/>
      <protection/>
    </xf>
    <xf numFmtId="10" fontId="5" fillId="0" borderId="0" xfId="111" applyFont="1" applyFill="1" applyBorder="1" applyAlignment="1" applyProtection="1">
      <alignment horizontal="center" wrapText="1"/>
      <protection/>
    </xf>
    <xf numFmtId="10" fontId="5" fillId="0" borderId="0" xfId="111" applyFont="1" applyAlignment="1">
      <alignment horizontal="center"/>
      <protection/>
    </xf>
    <xf numFmtId="10" fontId="5" fillId="0" borderId="0" xfId="111" applyFont="1" applyAlignment="1" applyProtection="1">
      <alignment horizontal="center"/>
      <protection/>
    </xf>
    <xf numFmtId="10" fontId="35" fillId="0" borderId="0" xfId="111" applyFont="1" applyAlignment="1" applyProtection="1">
      <alignment horizontal="left"/>
      <protection/>
    </xf>
    <xf numFmtId="10" fontId="35" fillId="0" borderId="0" xfId="111" applyFont="1" applyAlignment="1" applyProtection="1">
      <alignment horizontal="center"/>
      <protection/>
    </xf>
    <xf numFmtId="10" fontId="3" fillId="0" borderId="0" xfId="111" applyFont="1" applyAlignment="1" applyProtection="1">
      <alignment horizontal="left"/>
      <protection/>
    </xf>
    <xf numFmtId="10" fontId="3" fillId="0" borderId="0" xfId="111" applyFont="1" applyAlignment="1" applyProtection="1">
      <alignment horizontal="left" indent="2"/>
      <protection/>
    </xf>
    <xf numFmtId="10" fontId="3" fillId="0" borderId="0" xfId="111" applyNumberFormat="1" applyFont="1" applyAlignment="1" applyProtection="1">
      <alignment/>
      <protection/>
    </xf>
    <xf numFmtId="10" fontId="3" fillId="0" borderId="0" xfId="111" applyFont="1" applyAlignment="1">
      <alignment horizontal="left" indent="2"/>
      <protection/>
    </xf>
    <xf numFmtId="10" fontId="3" fillId="0" borderId="10" xfId="111" applyFont="1" applyBorder="1" applyAlignment="1">
      <alignment horizontal="left" indent="2"/>
      <protection/>
    </xf>
    <xf numFmtId="10" fontId="5" fillId="0" borderId="0" xfId="111" applyFont="1" applyAlignment="1" applyProtection="1">
      <alignment horizontal="left" indent="1"/>
      <protection/>
    </xf>
    <xf numFmtId="10" fontId="5" fillId="0" borderId="0" xfId="111" applyNumberFormat="1" applyFont="1" applyAlignment="1" applyProtection="1">
      <alignment/>
      <protection/>
    </xf>
    <xf numFmtId="10" fontId="5" fillId="0" borderId="11" xfId="111" applyFont="1" applyBorder="1" applyAlignment="1" applyProtection="1">
      <alignment horizontal="left" indent="1"/>
      <protection/>
    </xf>
    <xf numFmtId="10" fontId="5" fillId="0" borderId="11" xfId="111" applyNumberFormat="1" applyFont="1" applyBorder="1" applyAlignment="1" applyProtection="1">
      <alignment/>
      <protection/>
    </xf>
    <xf numFmtId="10" fontId="5" fillId="0" borderId="0" xfId="111" applyFont="1" applyAlignment="1" applyProtection="1">
      <alignment horizontal="left"/>
      <protection/>
    </xf>
    <xf numFmtId="10" fontId="35" fillId="0" borderId="0" xfId="111" applyNumberFormat="1" applyFont="1" applyAlignment="1" applyProtection="1">
      <alignment/>
      <protection/>
    </xf>
    <xf numFmtId="10" fontId="37" fillId="0" borderId="0" xfId="111" applyNumberFormat="1" applyFont="1" applyBorder="1" applyAlignment="1" applyProtection="1">
      <alignment horizontal="right"/>
      <protection/>
    </xf>
    <xf numFmtId="10" fontId="3" fillId="0" borderId="0" xfId="111" applyNumberFormat="1" applyFont="1" applyBorder="1">
      <alignment/>
      <protection/>
    </xf>
    <xf numFmtId="10" fontId="3" fillId="0" borderId="0" xfId="111" applyFont="1" applyBorder="1" applyAlignment="1">
      <alignment horizontal="right"/>
      <protection/>
    </xf>
    <xf numFmtId="10" fontId="3" fillId="0" borderId="0" xfId="111" applyFont="1" applyBorder="1" applyAlignment="1">
      <alignment horizontal="center"/>
      <protection/>
    </xf>
    <xf numFmtId="10" fontId="3" fillId="0" borderId="0" xfId="111" applyNumberFormat="1" applyFont="1" applyBorder="1" applyAlignment="1">
      <alignment horizontal="right"/>
      <protection/>
    </xf>
    <xf numFmtId="10" fontId="10" fillId="0" borderId="0" xfId="111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1" applyNumberFormat="1" applyFont="1">
      <alignment/>
      <protection/>
    </xf>
    <xf numFmtId="37" fontId="11" fillId="0" borderId="0" xfId="109" applyNumberFormat="1" applyFont="1" applyAlignment="1" applyProtection="1">
      <alignment horizontal="centerContinuous"/>
      <protection/>
    </xf>
    <xf numFmtId="0" fontId="5" fillId="0" borderId="0" xfId="112" applyFont="1" applyFill="1" applyBorder="1" applyAlignment="1" applyProtection="1" quotePrefix="1">
      <alignment horizontal="centerContinuous" vertical="center" wrapText="1"/>
      <protection/>
    </xf>
    <xf numFmtId="0" fontId="11" fillId="0" borderId="0" xfId="112" applyFont="1" applyFill="1" applyBorder="1" applyAlignment="1" applyProtection="1" quotePrefix="1">
      <alignment horizontal="centerContinuous" vertical="center" wrapText="1"/>
      <protection/>
    </xf>
    <xf numFmtId="181" fontId="11" fillId="0" borderId="0" xfId="109" applyNumberFormat="1" applyFont="1" applyFill="1" applyAlignment="1" applyProtection="1" quotePrefix="1">
      <alignment horizontal="centerContinuous"/>
      <protection/>
    </xf>
    <xf numFmtId="181" fontId="11" fillId="0" borderId="0" xfId="109" applyNumberFormat="1" applyFont="1" applyFill="1" applyAlignment="1" applyProtection="1">
      <alignment horizontal="centerContinuous"/>
      <protection/>
    </xf>
    <xf numFmtId="3" fontId="12" fillId="0" borderId="0" xfId="110" applyFont="1" applyAlignment="1">
      <alignment horizontal="center"/>
      <protection/>
    </xf>
    <xf numFmtId="37" fontId="40" fillId="0" borderId="0" xfId="108" applyFont="1" applyAlignment="1" applyProtection="1">
      <alignment horizontal="center"/>
      <protection/>
    </xf>
    <xf numFmtId="3" fontId="3" fillId="0" borderId="0" xfId="110" applyFont="1" applyAlignment="1">
      <alignment horizontal="center"/>
      <protection/>
    </xf>
    <xf numFmtId="168" fontId="34" fillId="0" borderId="0" xfId="110" applyNumberFormat="1" applyFont="1" applyAlignment="1" applyProtection="1">
      <alignment horizontal="center"/>
      <protection/>
    </xf>
    <xf numFmtId="3" fontId="34" fillId="0" borderId="0" xfId="110" applyFont="1" applyAlignment="1">
      <alignment horizontal="center"/>
      <protection/>
    </xf>
    <xf numFmtId="3" fontId="34" fillId="0" borderId="10" xfId="110" applyFont="1" applyBorder="1" applyAlignment="1" applyProtection="1">
      <alignment horizontal="center"/>
      <protection/>
    </xf>
    <xf numFmtId="3" fontId="34" fillId="0" borderId="10" xfId="110" applyFont="1" applyBorder="1" applyAlignment="1" applyProtection="1" quotePrefix="1">
      <alignment horizontal="center"/>
      <protection/>
    </xf>
    <xf numFmtId="17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right"/>
    </xf>
    <xf numFmtId="175" fontId="12" fillId="0" borderId="0" xfId="107" applyNumberFormat="1" applyFont="1" applyFill="1" applyProtection="1">
      <alignment/>
      <protection/>
    </xf>
    <xf numFmtId="175" fontId="12" fillId="0" borderId="0" xfId="107" applyNumberFormat="1" applyFont="1" applyFill="1" applyBorder="1" applyProtection="1">
      <alignment/>
      <protection/>
    </xf>
    <xf numFmtId="37" fontId="34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39" fontId="12" fillId="0" borderId="0" xfId="0" applyNumberFormat="1" applyFont="1" applyFill="1" applyAlignment="1">
      <alignment horizontal="right"/>
    </xf>
    <xf numFmtId="175" fontId="34" fillId="0" borderId="0" xfId="107" applyNumberFormat="1" applyFont="1" applyFill="1" applyBorder="1" applyProtection="1">
      <alignment/>
      <protection/>
    </xf>
    <xf numFmtId="3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75" fontId="34" fillId="0" borderId="0" xfId="107" applyNumberFormat="1" applyFont="1" applyFill="1" applyProtection="1">
      <alignment/>
      <protection/>
    </xf>
    <xf numFmtId="17" fontId="12" fillId="0" borderId="0" xfId="109" applyNumberFormat="1" applyFont="1" applyAlignment="1" applyProtection="1">
      <alignment horizontal="left"/>
      <protection/>
    </xf>
    <xf numFmtId="37" fontId="34" fillId="0" borderId="0" xfId="109" applyNumberFormat="1" applyFont="1" applyAlignment="1" applyProtection="1">
      <alignment horizontal="left"/>
      <protection/>
    </xf>
    <xf numFmtId="10" fontId="34" fillId="0" borderId="0" xfId="117" applyNumberFormat="1" applyFont="1" applyFill="1" applyAlignment="1">
      <alignment/>
    </xf>
    <xf numFmtId="192" fontId="42" fillId="0" borderId="12" xfId="107" applyNumberFormat="1" applyFont="1" applyBorder="1" applyProtection="1">
      <alignment/>
      <protection/>
    </xf>
    <xf numFmtId="171" fontId="12" fillId="0" borderId="0" xfId="0" applyNumberFormat="1" applyFont="1" applyFill="1" applyAlignment="1">
      <alignment/>
    </xf>
    <xf numFmtId="3" fontId="12" fillId="0" borderId="0" xfId="110" applyFont="1">
      <alignment/>
      <protection/>
    </xf>
    <xf numFmtId="10" fontId="12" fillId="0" borderId="0" xfId="117" applyNumberFormat="1" applyFont="1" applyFill="1" applyAlignment="1">
      <alignment/>
    </xf>
    <xf numFmtId="37" fontId="34" fillId="0" borderId="0" xfId="106" applyNumberFormat="1" applyFont="1" applyFill="1" applyBorder="1">
      <alignment/>
      <protection/>
    </xf>
    <xf numFmtId="10" fontId="34" fillId="0" borderId="12" xfId="0" applyNumberFormat="1" applyFont="1" applyFill="1" applyBorder="1" applyAlignment="1">
      <alignment/>
    </xf>
    <xf numFmtId="171" fontId="12" fillId="0" borderId="0" xfId="0" applyNumberFormat="1" applyFont="1" applyFill="1" applyAlignment="1">
      <alignment horizontal="center"/>
    </xf>
    <xf numFmtId="10" fontId="34" fillId="0" borderId="0" xfId="109" applyNumberFormat="1" applyFont="1" applyFill="1" applyBorder="1" applyProtection="1">
      <alignment/>
      <protection/>
    </xf>
    <xf numFmtId="187" fontId="44" fillId="0" borderId="0" xfId="107" applyNumberFormat="1" applyFont="1" applyFill="1" applyBorder="1" applyProtection="1">
      <alignment/>
      <protection/>
    </xf>
    <xf numFmtId="192" fontId="42" fillId="0" borderId="0" xfId="107" applyNumberFormat="1" applyFont="1" applyBorder="1" applyProtection="1">
      <alignment/>
      <protection/>
    </xf>
    <xf numFmtId="3" fontId="34" fillId="0" borderId="0" xfId="110" applyFont="1" quotePrefix="1">
      <alignment/>
      <protection/>
    </xf>
    <xf numFmtId="37" fontId="34" fillId="0" borderId="0" xfId="109" applyNumberFormat="1" applyFont="1">
      <alignment/>
      <protection/>
    </xf>
    <xf numFmtId="37" fontId="12" fillId="0" borderId="0" xfId="109" applyNumberFormat="1" applyFont="1">
      <alignment/>
      <protection/>
    </xf>
    <xf numFmtId="171" fontId="12" fillId="0" borderId="0" xfId="0" applyNumberFormat="1" applyFont="1" applyAlignment="1">
      <alignment/>
    </xf>
    <xf numFmtId="179" fontId="43" fillId="0" borderId="0" xfId="107" applyNumberFormat="1" applyFont="1" applyFill="1" applyProtection="1">
      <alignment/>
      <protection/>
    </xf>
    <xf numFmtId="37" fontId="12" fillId="0" borderId="0" xfId="106" applyFont="1" applyFill="1">
      <alignment/>
      <protection/>
    </xf>
    <xf numFmtId="37" fontId="10" fillId="0" borderId="0" xfId="106" applyFont="1" applyFill="1">
      <alignment/>
      <protection/>
    </xf>
    <xf numFmtId="37" fontId="7" fillId="0" borderId="0" xfId="106" applyFont="1" applyFill="1">
      <alignment/>
      <protection/>
    </xf>
    <xf numFmtId="37" fontId="12" fillId="0" borderId="0" xfId="108" applyFont="1" applyFill="1" applyAlignment="1" applyProtection="1">
      <alignment horizontal="center"/>
      <protection/>
    </xf>
    <xf numFmtId="37" fontId="34" fillId="0" borderId="0" xfId="108" applyFont="1" applyFill="1" applyAlignment="1" applyProtection="1">
      <alignment horizontal="center"/>
      <protection/>
    </xf>
    <xf numFmtId="17" fontId="41" fillId="0" borderId="0" xfId="106" applyNumberFormat="1" applyFont="1" applyFill="1" applyBorder="1" applyAlignment="1">
      <alignment horizontal="center"/>
      <protection/>
    </xf>
    <xf numFmtId="37" fontId="41" fillId="0" borderId="0" xfId="106" applyFont="1" applyFill="1" applyBorder="1" applyAlignment="1">
      <alignment horizontal="center" wrapText="1"/>
      <protection/>
    </xf>
    <xf numFmtId="37" fontId="34" fillId="0" borderId="0" xfId="106" applyFont="1" applyFill="1" applyBorder="1">
      <alignment/>
      <protection/>
    </xf>
    <xf numFmtId="5" fontId="12" fillId="0" borderId="0" xfId="107" applyNumberFormat="1" applyFont="1" applyFill="1" applyBorder="1" applyProtection="1">
      <alignment/>
      <protection/>
    </xf>
    <xf numFmtId="5" fontId="43" fillId="0" borderId="0" xfId="107" applyNumberFormat="1" applyFont="1" applyFill="1" applyBorder="1" applyProtection="1">
      <alignment/>
      <protection/>
    </xf>
    <xf numFmtId="5" fontId="42" fillId="0" borderId="0" xfId="107" applyNumberFormat="1" applyFont="1" applyFill="1" applyBorder="1" applyProtection="1">
      <alignment/>
      <protection/>
    </xf>
    <xf numFmtId="37" fontId="12" fillId="0" borderId="0" xfId="106" applyFont="1" applyFill="1" applyBorder="1">
      <alignment/>
      <protection/>
    </xf>
    <xf numFmtId="170" fontId="12" fillId="0" borderId="0" xfId="71" applyNumberFormat="1" applyFont="1" applyFill="1" applyBorder="1" applyAlignment="1" applyProtection="1">
      <alignment/>
      <protection/>
    </xf>
    <xf numFmtId="37" fontId="43" fillId="0" borderId="0" xfId="107" applyNumberFormat="1" applyFont="1" applyFill="1" applyBorder="1" applyProtection="1">
      <alignment/>
      <protection/>
    </xf>
    <xf numFmtId="37" fontId="12" fillId="0" borderId="0" xfId="106" applyFont="1" applyFill="1" applyBorder="1" applyAlignment="1">
      <alignment horizontal="left" indent="1"/>
      <protection/>
    </xf>
    <xf numFmtId="5" fontId="43" fillId="0" borderId="13" xfId="107" applyNumberFormat="1" applyFont="1" applyFill="1" applyBorder="1" applyProtection="1">
      <alignment/>
      <protection/>
    </xf>
    <xf numFmtId="5" fontId="42" fillId="0" borderId="13" xfId="107" applyNumberFormat="1" applyFont="1" applyFill="1" applyBorder="1" applyProtection="1">
      <alignment/>
      <protection/>
    </xf>
    <xf numFmtId="37" fontId="10" fillId="0" borderId="0" xfId="106" applyFont="1" applyFill="1" applyBorder="1">
      <alignment/>
      <protection/>
    </xf>
    <xf numFmtId="37" fontId="34" fillId="0" borderId="0" xfId="106" applyFont="1" applyFill="1" applyBorder="1" applyAlignment="1">
      <alignment horizontal="centerContinuous" vertical="center" wrapText="1"/>
      <protection/>
    </xf>
    <xf numFmtId="37" fontId="11" fillId="0" borderId="0" xfId="106" applyFont="1" applyFill="1" applyBorder="1" applyAlignment="1">
      <alignment horizontal="centerContinuous" vertical="center" wrapText="1"/>
      <protection/>
    </xf>
    <xf numFmtId="165" fontId="43" fillId="0" borderId="0" xfId="118" applyNumberFormat="1" applyFont="1" applyFill="1" applyBorder="1" applyAlignment="1" applyProtection="1">
      <alignment/>
      <protection/>
    </xf>
    <xf numFmtId="10" fontId="57" fillId="0" borderId="0" xfId="106" applyNumberFormat="1" applyFont="1" applyFill="1">
      <alignment/>
      <protection/>
    </xf>
    <xf numFmtId="168" fontId="12" fillId="0" borderId="0" xfId="106" applyNumberFormat="1" applyFont="1" applyFill="1">
      <alignment/>
      <protection/>
    </xf>
    <xf numFmtId="37" fontId="12" fillId="0" borderId="0" xfId="106" applyFont="1" applyFill="1" applyBorder="1" applyAlignment="1">
      <alignment horizontal="left"/>
      <protection/>
    </xf>
    <xf numFmtId="10" fontId="43" fillId="0" borderId="11" xfId="107" applyNumberFormat="1" applyFont="1" applyFill="1" applyBorder="1" applyProtection="1">
      <alignment/>
      <protection/>
    </xf>
    <xf numFmtId="37" fontId="45" fillId="0" borderId="0" xfId="106" applyFont="1" applyFill="1" applyBorder="1" applyAlignment="1">
      <alignment horizontal="center"/>
      <protection/>
    </xf>
    <xf numFmtId="37" fontId="46" fillId="0" borderId="0" xfId="106" applyFont="1" applyFill="1" applyBorder="1" applyAlignment="1">
      <alignment horizontal="center" wrapText="1"/>
      <protection/>
    </xf>
    <xf numFmtId="37" fontId="34" fillId="0" borderId="0" xfId="106" applyFont="1" applyFill="1" applyBorder="1" applyAlignment="1">
      <alignment horizontal="left" indent="1"/>
      <protection/>
    </xf>
    <xf numFmtId="37" fontId="12" fillId="0" borderId="12" xfId="106" applyFont="1" applyFill="1" applyBorder="1">
      <alignment/>
      <protection/>
    </xf>
    <xf numFmtId="5" fontId="42" fillId="0" borderId="12" xfId="107" applyNumberFormat="1" applyFont="1" applyFill="1" applyBorder="1" applyProtection="1">
      <alignment/>
      <protection/>
    </xf>
    <xf numFmtId="10" fontId="12" fillId="0" borderId="0" xfId="106" applyNumberFormat="1" applyFont="1" applyFill="1">
      <alignment/>
      <protection/>
    </xf>
    <xf numFmtId="5" fontId="57" fillId="0" borderId="0" xfId="107" applyNumberFormat="1" applyFont="1" applyFill="1" applyBorder="1" applyProtection="1">
      <alignment/>
      <protection/>
    </xf>
    <xf numFmtId="37" fontId="12" fillId="0" borderId="0" xfId="106" applyFont="1" applyFill="1" applyBorder="1" applyAlignment="1">
      <alignment horizontal="left" indent="2"/>
      <protection/>
    </xf>
    <xf numFmtId="5" fontId="43" fillId="0" borderId="11" xfId="107" applyNumberFormat="1" applyFont="1" applyFill="1" applyBorder="1" applyProtection="1">
      <alignment/>
      <protection/>
    </xf>
    <xf numFmtId="37" fontId="41" fillId="0" borderId="0" xfId="106" applyFont="1" applyFill="1" applyBorder="1" applyAlignment="1">
      <alignment horizontal="center"/>
      <protection/>
    </xf>
    <xf numFmtId="168" fontId="12" fillId="0" borderId="0" xfId="118" applyNumberFormat="1" applyFont="1" applyFill="1" applyAlignment="1">
      <alignment/>
    </xf>
    <xf numFmtId="5" fontId="43" fillId="0" borderId="12" xfId="107" applyNumberFormat="1" applyFont="1" applyFill="1" applyBorder="1" applyProtection="1">
      <alignment/>
      <protection/>
    </xf>
    <xf numFmtId="10" fontId="12" fillId="0" borderId="0" xfId="118" applyNumberFormat="1" applyFont="1" applyFill="1" applyAlignment="1">
      <alignment/>
    </xf>
    <xf numFmtId="195" fontId="12" fillId="0" borderId="0" xfId="106" applyNumberFormat="1" applyFont="1" applyFill="1" applyBorder="1" applyAlignment="1">
      <alignment horizontal="left"/>
      <protection/>
    </xf>
    <xf numFmtId="10" fontId="12" fillId="0" borderId="0" xfId="106" applyNumberFormat="1" applyFont="1" applyFill="1" applyBorder="1">
      <alignment/>
      <protection/>
    </xf>
    <xf numFmtId="168" fontId="47" fillId="0" borderId="0" xfId="118" applyNumberFormat="1" applyFont="1" applyFill="1" applyAlignment="1">
      <alignment horizontal="center"/>
    </xf>
    <xf numFmtId="10" fontId="47" fillId="0" borderId="0" xfId="118" applyNumberFormat="1" applyFont="1" applyFill="1" applyAlignment="1">
      <alignment horizontal="center"/>
    </xf>
    <xf numFmtId="199" fontId="43" fillId="0" borderId="0" xfId="107" applyNumberFormat="1" applyFont="1" applyFill="1" applyBorder="1" applyProtection="1">
      <alignment/>
      <protection/>
    </xf>
    <xf numFmtId="37" fontId="10" fillId="0" borderId="0" xfId="106" applyFont="1" applyFill="1" applyAlignment="1">
      <alignment horizontal="right"/>
      <protection/>
    </xf>
    <xf numFmtId="10" fontId="42" fillId="0" borderId="0" xfId="118" applyNumberFormat="1" applyFont="1" applyFill="1" applyBorder="1" applyAlignment="1" applyProtection="1">
      <alignment/>
      <protection/>
    </xf>
    <xf numFmtId="5" fontId="12" fillId="0" borderId="12" xfId="106" applyNumberFormat="1" applyFont="1" applyFill="1" applyBorder="1">
      <alignment/>
      <protection/>
    </xf>
    <xf numFmtId="5" fontId="12" fillId="0" borderId="0" xfId="106" applyNumberFormat="1" applyFont="1" applyFill="1" applyBorder="1">
      <alignment/>
      <protection/>
    </xf>
    <xf numFmtId="37" fontId="48" fillId="0" borderId="0" xfId="106" applyFont="1" applyFill="1">
      <alignment/>
      <protection/>
    </xf>
    <xf numFmtId="171" fontId="10" fillId="0" borderId="0" xfId="106" applyNumberFormat="1" applyFont="1" applyFill="1">
      <alignment/>
      <protection/>
    </xf>
    <xf numFmtId="0" fontId="10" fillId="0" borderId="0" xfId="112" applyFont="1">
      <alignment/>
      <protection/>
    </xf>
    <xf numFmtId="172" fontId="11" fillId="0" borderId="0" xfId="112" applyNumberFormat="1" applyFont="1" applyFill="1" applyAlignment="1">
      <alignment horizontal="left"/>
      <protection/>
    </xf>
    <xf numFmtId="0" fontId="49" fillId="0" borderId="0" xfId="112" applyFont="1" applyFill="1" applyAlignment="1" applyProtection="1" quotePrefix="1">
      <alignment horizontal="center"/>
      <protection/>
    </xf>
    <xf numFmtId="1" fontId="10" fillId="0" borderId="0" xfId="112" applyNumberFormat="1" applyFont="1" applyFill="1" applyAlignment="1" applyProtection="1">
      <alignment horizontal="center"/>
      <protection/>
    </xf>
    <xf numFmtId="37" fontId="34" fillId="0" borderId="0" xfId="108" applyFont="1" applyAlignment="1" applyProtection="1" quotePrefix="1">
      <alignment horizontal="center"/>
      <protection/>
    </xf>
    <xf numFmtId="0" fontId="11" fillId="0" borderId="0" xfId="112" applyFont="1" applyFill="1" applyAlignment="1" applyProtection="1">
      <alignment horizontal="center"/>
      <protection/>
    </xf>
    <xf numFmtId="0" fontId="34" fillId="0" borderId="0" xfId="112" applyFont="1" applyFill="1" applyAlignment="1" applyProtection="1">
      <alignment horizontal="center"/>
      <protection/>
    </xf>
    <xf numFmtId="0" fontId="34" fillId="0" borderId="0" xfId="112" applyFont="1" applyFill="1" applyAlignment="1">
      <alignment horizontal="center"/>
      <protection/>
    </xf>
    <xf numFmtId="0" fontId="34" fillId="0" borderId="0" xfId="112" applyFont="1" applyFill="1" applyBorder="1" applyAlignment="1" applyProtection="1">
      <alignment horizontal="center" wrapText="1"/>
      <protection/>
    </xf>
    <xf numFmtId="0" fontId="34" fillId="0" borderId="10" xfId="112" applyFont="1" applyFill="1" applyBorder="1" applyAlignment="1" applyProtection="1">
      <alignment horizontal="left"/>
      <protection/>
    </xf>
    <xf numFmtId="0" fontId="34" fillId="0" borderId="10" xfId="112" applyFont="1" applyFill="1" applyBorder="1" applyAlignment="1" applyProtection="1">
      <alignment horizontal="center" wrapText="1"/>
      <protection/>
    </xf>
    <xf numFmtId="0" fontId="34" fillId="0" borderId="10" xfId="112" applyFont="1" applyFill="1" applyBorder="1" applyAlignment="1" applyProtection="1">
      <alignment horizontal="center"/>
      <protection/>
    </xf>
    <xf numFmtId="7" fontId="10" fillId="0" borderId="0" xfId="112" applyNumberFormat="1" applyFont="1" applyFill="1">
      <alignment/>
      <protection/>
    </xf>
    <xf numFmtId="5" fontId="10" fillId="0" borderId="0" xfId="112" applyNumberFormat="1" applyFont="1" applyFill="1">
      <alignment/>
      <protection/>
    </xf>
    <xf numFmtId="0" fontId="10" fillId="0" borderId="0" xfId="112" applyNumberFormat="1" applyFont="1" applyFill="1" applyAlignment="1">
      <alignment horizontal="center"/>
      <protection/>
    </xf>
    <xf numFmtId="0" fontId="11" fillId="0" borderId="0" xfId="112" applyFont="1" applyFill="1" applyBorder="1" applyAlignment="1" applyProtection="1" quotePrefix="1">
      <alignment horizontal="left"/>
      <protection/>
    </xf>
    <xf numFmtId="5" fontId="11" fillId="0" borderId="12" xfId="112" applyNumberFormat="1" applyFont="1" applyFill="1" applyBorder="1" applyAlignment="1" applyProtection="1">
      <alignment horizontal="right"/>
      <protection/>
    </xf>
    <xf numFmtId="5" fontId="11" fillId="0" borderId="0" xfId="111" applyNumberFormat="1" applyFont="1" applyBorder="1" applyAlignment="1" applyProtection="1">
      <alignment/>
      <protection/>
    </xf>
    <xf numFmtId="5" fontId="10" fillId="0" borderId="0" xfId="112" applyNumberFormat="1" applyFont="1" applyProtection="1">
      <alignment/>
      <protection/>
    </xf>
    <xf numFmtId="10" fontId="10" fillId="0" borderId="0" xfId="117" applyNumberFormat="1" applyFont="1" applyFill="1" applyAlignment="1">
      <alignment/>
    </xf>
    <xf numFmtId="0" fontId="11" fillId="0" borderId="0" xfId="112" applyFont="1" applyFill="1" applyAlignment="1" applyProtection="1">
      <alignment horizontal="left"/>
      <protection/>
    </xf>
    <xf numFmtId="0" fontId="11" fillId="0" borderId="0" xfId="112" applyFont="1" applyAlignment="1" applyProtection="1">
      <alignment horizontal="left"/>
      <protection/>
    </xf>
    <xf numFmtId="170" fontId="6" fillId="0" borderId="0" xfId="69" applyNumberFormat="1" applyFont="1" applyAlignment="1">
      <alignment/>
    </xf>
    <xf numFmtId="170" fontId="6" fillId="0" borderId="0" xfId="69" applyNumberFormat="1" applyFont="1" applyFill="1" applyAlignment="1">
      <alignment/>
    </xf>
    <xf numFmtId="170" fontId="3" fillId="0" borderId="0" xfId="69" applyNumberFormat="1" applyFont="1" applyAlignment="1">
      <alignment/>
    </xf>
    <xf numFmtId="37" fontId="35" fillId="0" borderId="0" xfId="109" applyFont="1" applyAlignment="1">
      <alignment horizontal="center"/>
      <protection/>
    </xf>
    <xf numFmtId="175" fontId="50" fillId="0" borderId="0" xfId="107" applyNumberFormat="1" applyFont="1" applyFill="1" applyProtection="1">
      <alignment/>
      <protection/>
    </xf>
    <xf numFmtId="10" fontId="3" fillId="0" borderId="0" xfId="111" applyFont="1" applyFill="1">
      <alignment/>
      <protection/>
    </xf>
    <xf numFmtId="10" fontId="5" fillId="0" borderId="0" xfId="111" applyFont="1" applyFill="1" applyAlignment="1">
      <alignment horizontal="center"/>
      <protection/>
    </xf>
    <xf numFmtId="10" fontId="38" fillId="0" borderId="0" xfId="111" applyFont="1" applyFill="1" applyAlignment="1" applyProtection="1">
      <alignment horizontal="right"/>
      <protection/>
    </xf>
    <xf numFmtId="10" fontId="5" fillId="0" borderId="0" xfId="111" applyFont="1" applyFill="1" applyAlignment="1" applyProtection="1">
      <alignment horizontal="center"/>
      <protection/>
    </xf>
    <xf numFmtId="10" fontId="35" fillId="0" borderId="0" xfId="111" applyFont="1" applyFill="1" applyAlignment="1" applyProtection="1">
      <alignment horizontal="left"/>
      <protection/>
    </xf>
    <xf numFmtId="10" fontId="35" fillId="0" borderId="0" xfId="111" applyFont="1" applyFill="1" applyAlignment="1" applyProtection="1">
      <alignment horizontal="right"/>
      <protection/>
    </xf>
    <xf numFmtId="10" fontId="35" fillId="0" borderId="0" xfId="111" applyFont="1" applyFill="1" applyAlignment="1" applyProtection="1">
      <alignment horizontal="center"/>
      <protection/>
    </xf>
    <xf numFmtId="10" fontId="3" fillId="0" borderId="0" xfId="111" applyFont="1" applyFill="1" applyAlignment="1" applyProtection="1">
      <alignment horizontal="left"/>
      <protection/>
    </xf>
    <xf numFmtId="10" fontId="3" fillId="0" borderId="0" xfId="111" applyNumberFormat="1" applyFont="1" applyFill="1" applyAlignment="1" applyProtection="1">
      <alignment horizontal="left"/>
      <protection/>
    </xf>
    <xf numFmtId="10" fontId="3" fillId="0" borderId="0" xfId="111" applyNumberFormat="1" applyFont="1" applyFill="1" applyBorder="1" applyAlignment="1" applyProtection="1">
      <alignment horizontal="left"/>
      <protection/>
    </xf>
    <xf numFmtId="10" fontId="3" fillId="0" borderId="0" xfId="111" applyFont="1" applyFill="1" applyAlignment="1" applyProtection="1">
      <alignment horizontal="left" indent="2"/>
      <protection/>
    </xf>
    <xf numFmtId="5" fontId="3" fillId="0" borderId="0" xfId="71" applyNumberFormat="1" applyFont="1" applyFill="1" applyAlignment="1" applyProtection="1">
      <alignment/>
      <protection/>
    </xf>
    <xf numFmtId="165" fontId="3" fillId="0" borderId="0" xfId="111" applyNumberFormat="1" applyFont="1" applyFill="1" applyAlignment="1" applyProtection="1">
      <alignment horizontal="right"/>
      <protection/>
    </xf>
    <xf numFmtId="10" fontId="3" fillId="0" borderId="0" xfId="111" applyFont="1" applyFill="1" applyAlignment="1" applyProtection="1">
      <alignment horizontal="right"/>
      <protection/>
    </xf>
    <xf numFmtId="10" fontId="3" fillId="0" borderId="0" xfId="111" applyNumberFormat="1" applyFont="1" applyFill="1" applyBorder="1" applyAlignment="1" applyProtection="1">
      <alignment horizontal="right"/>
      <protection/>
    </xf>
    <xf numFmtId="10" fontId="3" fillId="0" borderId="0" xfId="111" applyFont="1" applyFill="1" applyAlignment="1">
      <alignment horizontal="left" indent="2"/>
      <protection/>
    </xf>
    <xf numFmtId="5" fontId="3" fillId="0" borderId="0" xfId="111" applyNumberFormat="1" applyFont="1" applyFill="1" applyBorder="1" applyAlignment="1" applyProtection="1">
      <alignment horizontal="right"/>
      <protection/>
    </xf>
    <xf numFmtId="165" fontId="3" fillId="0" borderId="0" xfId="111" applyNumberFormat="1" applyFont="1" applyFill="1" applyBorder="1" applyAlignment="1">
      <alignment horizontal="right"/>
      <protection/>
    </xf>
    <xf numFmtId="10" fontId="3" fillId="0" borderId="0" xfId="111" applyFont="1" applyFill="1" applyBorder="1" applyAlignment="1">
      <alignment horizontal="right"/>
      <protection/>
    </xf>
    <xf numFmtId="10" fontId="3" fillId="0" borderId="0" xfId="111" applyNumberFormat="1" applyFont="1" applyFill="1" applyAlignment="1">
      <alignment horizontal="right"/>
      <protection/>
    </xf>
    <xf numFmtId="10" fontId="3" fillId="0" borderId="10" xfId="111" applyFont="1" applyFill="1" applyBorder="1" applyAlignment="1">
      <alignment horizontal="left" indent="2"/>
      <protection/>
    </xf>
    <xf numFmtId="5" fontId="3" fillId="0" borderId="10" xfId="111" applyNumberFormat="1" applyFont="1" applyFill="1" applyBorder="1" applyAlignment="1" applyProtection="1">
      <alignment horizontal="right"/>
      <protection/>
    </xf>
    <xf numFmtId="165" fontId="3" fillId="0" borderId="10" xfId="111" applyNumberFormat="1" applyFont="1" applyFill="1" applyBorder="1" applyAlignment="1">
      <alignment horizontal="right"/>
      <protection/>
    </xf>
    <xf numFmtId="10" fontId="3" fillId="0" borderId="10" xfId="111" applyFont="1" applyFill="1" applyBorder="1" applyAlignment="1">
      <alignment horizontal="right"/>
      <protection/>
    </xf>
    <xf numFmtId="10" fontId="3" fillId="0" borderId="10" xfId="111" applyNumberFormat="1" applyFont="1" applyFill="1" applyBorder="1" applyAlignment="1">
      <alignment horizontal="right"/>
      <protection/>
    </xf>
    <xf numFmtId="10" fontId="5" fillId="0" borderId="0" xfId="111" applyFont="1" applyFill="1" applyAlignment="1" applyProtection="1">
      <alignment horizontal="left" indent="1"/>
      <protection/>
    </xf>
    <xf numFmtId="10" fontId="5" fillId="0" borderId="0" xfId="111" applyNumberFormat="1" applyFont="1" applyFill="1" applyAlignment="1">
      <alignment horizontal="right"/>
      <protection/>
    </xf>
    <xf numFmtId="10" fontId="5" fillId="0" borderId="11" xfId="111" applyFont="1" applyFill="1" applyBorder="1" applyAlignment="1" applyProtection="1">
      <alignment horizontal="left" indent="1"/>
      <protection/>
    </xf>
    <xf numFmtId="5" fontId="3" fillId="0" borderId="11" xfId="111" applyNumberFormat="1" applyFont="1" applyFill="1" applyBorder="1" applyAlignment="1" applyProtection="1">
      <alignment horizontal="right"/>
      <protection/>
    </xf>
    <xf numFmtId="165" fontId="3" fillId="0" borderId="11" xfId="111" applyNumberFormat="1" applyFont="1" applyFill="1" applyBorder="1" applyAlignment="1" applyProtection="1">
      <alignment horizontal="right"/>
      <protection/>
    </xf>
    <xf numFmtId="10" fontId="3" fillId="0" borderId="11" xfId="111" applyFont="1" applyFill="1" applyBorder="1" applyAlignment="1" applyProtection="1">
      <alignment horizontal="right"/>
      <protection/>
    </xf>
    <xf numFmtId="10" fontId="5" fillId="0" borderId="11" xfId="111" applyNumberFormat="1" applyFont="1" applyFill="1" applyBorder="1" applyAlignment="1" applyProtection="1">
      <alignment horizontal="right"/>
      <protection/>
    </xf>
    <xf numFmtId="10" fontId="5" fillId="0" borderId="0" xfId="111" applyFont="1" applyFill="1" applyAlignment="1" applyProtection="1">
      <alignment horizontal="left"/>
      <protection/>
    </xf>
    <xf numFmtId="5" fontId="5" fillId="0" borderId="0" xfId="111" applyNumberFormat="1" applyFont="1" applyFill="1" applyBorder="1" applyAlignment="1" applyProtection="1">
      <alignment horizontal="right"/>
      <protection/>
    </xf>
    <xf numFmtId="165" fontId="5" fillId="0" borderId="0" xfId="111" applyNumberFormat="1" applyFont="1" applyFill="1" applyAlignment="1" applyProtection="1">
      <alignment horizontal="right"/>
      <protection/>
    </xf>
    <xf numFmtId="10" fontId="5" fillId="0" borderId="0" xfId="111" applyNumberFormat="1" applyFont="1" applyFill="1" applyBorder="1" applyAlignment="1" applyProtection="1">
      <alignment horizontal="right"/>
      <protection/>
    </xf>
    <xf numFmtId="5" fontId="35" fillId="0" borderId="0" xfId="111" applyNumberFormat="1" applyFont="1" applyFill="1" applyBorder="1" applyAlignment="1" applyProtection="1">
      <alignment horizontal="right"/>
      <protection/>
    </xf>
    <xf numFmtId="165" fontId="35" fillId="0" borderId="0" xfId="111" applyNumberFormat="1" applyFont="1" applyFill="1" applyAlignment="1" applyProtection="1">
      <alignment horizontal="right"/>
      <protection/>
    </xf>
    <xf numFmtId="10" fontId="35" fillId="0" borderId="0" xfId="111" applyNumberFormat="1" applyFont="1" applyFill="1" applyAlignment="1" applyProtection="1">
      <alignment horizontal="right"/>
      <protection/>
    </xf>
    <xf numFmtId="5" fontId="37" fillId="0" borderId="0" xfId="111" applyNumberFormat="1" applyFont="1" applyFill="1" applyBorder="1" applyAlignment="1" applyProtection="1">
      <alignment horizontal="right"/>
      <protection/>
    </xf>
    <xf numFmtId="165" fontId="37" fillId="0" borderId="0" xfId="111" applyNumberFormat="1" applyFont="1" applyFill="1" applyBorder="1" applyAlignment="1" applyProtection="1">
      <alignment horizontal="right"/>
      <protection/>
    </xf>
    <xf numFmtId="10" fontId="39" fillId="0" borderId="0" xfId="111" applyFont="1" applyFill="1" applyBorder="1" applyAlignment="1">
      <alignment horizontal="right"/>
      <protection/>
    </xf>
    <xf numFmtId="10" fontId="37" fillId="0" borderId="0" xfId="111" applyNumberFormat="1" applyFont="1" applyFill="1" applyBorder="1" applyAlignment="1" applyProtection="1">
      <alignment horizontal="right"/>
      <protection/>
    </xf>
    <xf numFmtId="10" fontId="3" fillId="0" borderId="0" xfId="111" applyNumberFormat="1" applyFont="1" applyFill="1" applyAlignment="1" applyProtection="1">
      <alignment/>
      <protection/>
    </xf>
    <xf numFmtId="10" fontId="3" fillId="0" borderId="10" xfId="111" applyNumberFormat="1" applyFont="1" applyFill="1" applyBorder="1" applyAlignment="1" applyProtection="1">
      <alignment/>
      <protection/>
    </xf>
    <xf numFmtId="192" fontId="43" fillId="0" borderId="0" xfId="107" applyNumberFormat="1" applyFont="1" applyFill="1" applyBorder="1" applyProtection="1">
      <alignment/>
      <protection/>
    </xf>
    <xf numFmtId="165" fontId="41" fillId="0" borderId="0" xfId="111" applyNumberFormat="1" applyFont="1" applyFill="1" applyAlignment="1" applyProtection="1">
      <alignment/>
      <protection/>
    </xf>
    <xf numFmtId="192" fontId="42" fillId="0" borderId="0" xfId="107" applyNumberFormat="1" applyFont="1" applyFill="1" applyBorder="1" applyProtection="1">
      <alignment/>
      <protection/>
    </xf>
    <xf numFmtId="168" fontId="57" fillId="0" borderId="0" xfId="118" applyNumberFormat="1" applyFont="1" applyFill="1" applyAlignment="1">
      <alignment horizontal="center"/>
    </xf>
    <xf numFmtId="10" fontId="57" fillId="0" borderId="0" xfId="118" applyNumberFormat="1" applyFont="1" applyFill="1" applyAlignment="1">
      <alignment/>
    </xf>
    <xf numFmtId="43" fontId="3" fillId="0" borderId="0" xfId="69" applyFont="1" applyAlignment="1">
      <alignment/>
    </xf>
    <xf numFmtId="43" fontId="3" fillId="0" borderId="0" xfId="111" applyNumberFormat="1" applyFont="1">
      <alignment/>
      <protection/>
    </xf>
    <xf numFmtId="3" fontId="12" fillId="0" borderId="0" xfId="110" applyFont="1" applyFill="1" applyAlignment="1">
      <alignment horizontal="center"/>
      <protection/>
    </xf>
    <xf numFmtId="37" fontId="12" fillId="0" borderId="0" xfId="109" applyFont="1" applyFill="1">
      <alignment/>
      <protection/>
    </xf>
    <xf numFmtId="37" fontId="12" fillId="0" borderId="0" xfId="109" applyNumberFormat="1" applyFont="1" applyFill="1">
      <alignment/>
      <protection/>
    </xf>
    <xf numFmtId="10" fontId="12" fillId="0" borderId="0" xfId="0" applyNumberFormat="1" applyFont="1" applyFill="1" applyAlignment="1">
      <alignment horizontal="right"/>
    </xf>
    <xf numFmtId="168" fontId="9" fillId="0" borderId="0" xfId="112" applyNumberFormat="1" applyFont="1" applyFill="1" applyAlignment="1">
      <alignment horizontal="left"/>
      <protection/>
    </xf>
    <xf numFmtId="15" fontId="9" fillId="0" borderId="0" xfId="112" applyNumberFormat="1" applyFont="1" applyFill="1" applyAlignment="1">
      <alignment horizontal="center"/>
      <protection/>
    </xf>
    <xf numFmtId="15" fontId="9" fillId="0" borderId="0" xfId="112" applyNumberFormat="1" applyFont="1" applyFill="1" applyAlignment="1">
      <alignment horizontal="right"/>
      <protection/>
    </xf>
    <xf numFmtId="168" fontId="9" fillId="0" borderId="0" xfId="112" applyNumberFormat="1" applyFont="1" applyFill="1" applyAlignment="1" applyProtection="1">
      <alignment horizontal="left"/>
      <protection/>
    </xf>
    <xf numFmtId="15" fontId="9" fillId="0" borderId="0" xfId="112" applyNumberFormat="1" applyFont="1" applyFill="1" applyAlignment="1" applyProtection="1">
      <alignment horizontal="center"/>
      <protection/>
    </xf>
    <xf numFmtId="5" fontId="9" fillId="0" borderId="0" xfId="112" applyNumberFormat="1" applyFont="1" applyFill="1">
      <alignment/>
      <protection/>
    </xf>
    <xf numFmtId="37" fontId="0" fillId="0" borderId="0" xfId="0" applyNumberFormat="1" applyFont="1" applyAlignment="1">
      <alignment/>
    </xf>
    <xf numFmtId="37" fontId="0" fillId="0" borderId="0" xfId="109" applyNumberFormat="1" applyFont="1" applyAlignment="1" applyProtection="1">
      <alignment/>
      <protection/>
    </xf>
    <xf numFmtId="168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17" fontId="0" fillId="0" borderId="0" xfId="109" applyNumberFormat="1" applyFont="1" applyProtection="1">
      <alignment/>
      <protection/>
    </xf>
    <xf numFmtId="17" fontId="0" fillId="0" borderId="0" xfId="109" applyNumberFormat="1" applyFont="1" applyAlignment="1" applyProtection="1">
      <alignment horizontal="center"/>
      <protection/>
    </xf>
    <xf numFmtId="39" fontId="0" fillId="0" borderId="0" xfId="0" applyNumberFormat="1" applyFont="1" applyFill="1" applyAlignment="1">
      <alignment horizontal="center"/>
    </xf>
    <xf numFmtId="175" fontId="0" fillId="0" borderId="0" xfId="107" applyNumberFormat="1" applyFont="1" applyFill="1" applyProtection="1">
      <alignment/>
      <protection/>
    </xf>
    <xf numFmtId="5" fontId="11" fillId="0" borderId="0" xfId="112" applyNumberFormat="1" applyFont="1" applyBorder="1" applyAlignment="1">
      <alignment horizontal="left"/>
      <protection/>
    </xf>
    <xf numFmtId="43" fontId="11" fillId="0" borderId="0" xfId="69" applyFont="1" applyBorder="1" applyAlignment="1">
      <alignment horizontal="left"/>
    </xf>
    <xf numFmtId="10" fontId="1" fillId="0" borderId="0" xfId="111" applyNumberFormat="1" applyFont="1" applyAlignment="1" applyProtection="1">
      <alignment/>
      <protection/>
    </xf>
    <xf numFmtId="37" fontId="58" fillId="0" borderId="0" xfId="106" applyFont="1" applyFill="1">
      <alignment/>
      <protection/>
    </xf>
    <xf numFmtId="37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65" fontId="3" fillId="0" borderId="0" xfId="117" applyNumberFormat="1" applyFont="1" applyAlignment="1">
      <alignment/>
    </xf>
    <xf numFmtId="170" fontId="12" fillId="0" borderId="0" xfId="69" applyNumberFormat="1" applyFont="1" applyFill="1" applyBorder="1" applyAlignment="1">
      <alignment/>
    </xf>
    <xf numFmtId="170" fontId="12" fillId="0" borderId="0" xfId="106" applyNumberFormat="1" applyFont="1" applyFill="1" applyBorder="1">
      <alignment/>
      <protection/>
    </xf>
    <xf numFmtId="170" fontId="42" fillId="0" borderId="0" xfId="69" applyNumberFormat="1" applyFont="1" applyFill="1" applyBorder="1" applyAlignment="1" applyProtection="1">
      <alignment/>
      <protection/>
    </xf>
    <xf numFmtId="170" fontId="43" fillId="0" borderId="0" xfId="69" applyNumberFormat="1" applyFont="1" applyFill="1" applyBorder="1" applyAlignment="1" applyProtection="1">
      <alignment/>
      <protection/>
    </xf>
    <xf numFmtId="10" fontId="42" fillId="0" borderId="0" xfId="118" applyNumberFormat="1" applyFont="1" applyFill="1" applyBorder="1" applyAlignment="1" applyProtection="1">
      <alignment horizontal="center"/>
      <protection/>
    </xf>
    <xf numFmtId="10" fontId="43" fillId="0" borderId="0" xfId="118" applyNumberFormat="1" applyFont="1" applyFill="1" applyBorder="1" applyAlignment="1" applyProtection="1">
      <alignment horizontal="center"/>
      <protection/>
    </xf>
    <xf numFmtId="5" fontId="42" fillId="0" borderId="0" xfId="118" applyNumberFormat="1" applyFont="1" applyFill="1" applyBorder="1" applyAlignment="1" applyProtection="1">
      <alignment/>
      <protection/>
    </xf>
    <xf numFmtId="37" fontId="59" fillId="0" borderId="0" xfId="109" applyFont="1">
      <alignment/>
      <protection/>
    </xf>
    <xf numFmtId="10" fontId="3" fillId="0" borderId="0" xfId="111" applyFont="1" applyFill="1" applyBorder="1" applyAlignment="1">
      <alignment horizontal="centerContinuous" vertical="center" wrapText="1"/>
      <protection/>
    </xf>
    <xf numFmtId="172" fontId="5" fillId="0" borderId="0" xfId="111" applyNumberFormat="1" applyFont="1" applyFill="1" applyBorder="1" applyAlignment="1" applyProtection="1">
      <alignment horizontal="centerContinuous" vertical="center" wrapText="1"/>
      <protection/>
    </xf>
    <xf numFmtId="37" fontId="3" fillId="0" borderId="0" xfId="0" applyFont="1" applyFill="1" applyAlignment="1">
      <alignment/>
    </xf>
    <xf numFmtId="165" fontId="3" fillId="0" borderId="0" xfId="111" applyNumberFormat="1" applyFont="1" applyFill="1" applyAlignment="1" applyProtection="1">
      <alignment/>
      <protection/>
    </xf>
    <xf numFmtId="37" fontId="34" fillId="0" borderId="10" xfId="108" applyFont="1" applyFill="1" applyBorder="1" applyAlignment="1" applyProtection="1">
      <alignment horizontal="center"/>
      <protection/>
    </xf>
    <xf numFmtId="165" fontId="3" fillId="0" borderId="10" xfId="111" applyNumberFormat="1" applyFont="1" applyFill="1" applyBorder="1" applyAlignment="1" applyProtection="1">
      <alignment/>
      <protection/>
    </xf>
    <xf numFmtId="5" fontId="3" fillId="0" borderId="0" xfId="111" applyNumberFormat="1" applyFont="1" applyFill="1" applyAlignment="1" applyProtection="1">
      <alignment/>
      <protection/>
    </xf>
    <xf numFmtId="37" fontId="34" fillId="0" borderId="11" xfId="108" applyFont="1" applyFill="1" applyBorder="1" applyAlignment="1" applyProtection="1">
      <alignment horizontal="center"/>
      <protection/>
    </xf>
    <xf numFmtId="165" fontId="3" fillId="0" borderId="11" xfId="111" applyNumberFormat="1" applyFont="1" applyFill="1" applyBorder="1" applyAlignment="1" applyProtection="1">
      <alignment/>
      <protection/>
    </xf>
    <xf numFmtId="10" fontId="3" fillId="0" borderId="11" xfId="111" applyNumberFormat="1" applyFont="1" applyFill="1" applyBorder="1" applyAlignment="1" applyProtection="1">
      <alignment/>
      <protection/>
    </xf>
    <xf numFmtId="165" fontId="5" fillId="0" borderId="0" xfId="111" applyNumberFormat="1" applyFont="1" applyFill="1" applyAlignment="1" applyProtection="1">
      <alignment/>
      <protection/>
    </xf>
    <xf numFmtId="165" fontId="35" fillId="0" borderId="0" xfId="111" applyNumberFormat="1" applyFont="1" applyFill="1" applyAlignment="1" applyProtection="1">
      <alignment/>
      <protection/>
    </xf>
    <xf numFmtId="10" fontId="36" fillId="0" borderId="0" xfId="111" applyNumberFormat="1" applyFont="1" applyFill="1" applyBorder="1" applyAlignment="1" applyProtection="1">
      <alignment horizontal="right"/>
      <protection/>
    </xf>
    <xf numFmtId="5" fontId="37" fillId="0" borderId="0" xfId="111" applyNumberFormat="1" applyFont="1" applyFill="1" applyBorder="1" applyAlignment="1" applyProtection="1">
      <alignment/>
      <protection/>
    </xf>
    <xf numFmtId="39" fontId="0" fillId="18" borderId="14" xfId="0" applyNumberFormat="1" applyFont="1" applyFill="1" applyBorder="1" applyAlignment="1">
      <alignment horizontal="center"/>
    </xf>
    <xf numFmtId="10" fontId="12" fillId="18" borderId="14" xfId="0" applyNumberFormat="1" applyFont="1" applyFill="1" applyBorder="1" applyAlignment="1">
      <alignment horizontal="right"/>
    </xf>
    <xf numFmtId="175" fontId="12" fillId="18" borderId="14" xfId="107" applyNumberFormat="1" applyFont="1" applyFill="1" applyBorder="1" applyProtection="1">
      <alignment/>
      <protection/>
    </xf>
    <xf numFmtId="175" fontId="0" fillId="18" borderId="15" xfId="107" applyNumberFormat="1" applyFont="1" applyFill="1" applyBorder="1" applyProtection="1">
      <alignment/>
      <protection/>
    </xf>
    <xf numFmtId="39" fontId="0" fillId="18" borderId="0" xfId="0" applyNumberFormat="1" applyFont="1" applyFill="1" applyBorder="1" applyAlignment="1">
      <alignment horizontal="center"/>
    </xf>
    <xf numFmtId="10" fontId="12" fillId="18" borderId="0" xfId="0" applyNumberFormat="1" applyFont="1" applyFill="1" applyBorder="1" applyAlignment="1">
      <alignment horizontal="right"/>
    </xf>
    <xf numFmtId="175" fontId="12" fillId="18" borderId="0" xfId="107" applyNumberFormat="1" applyFont="1" applyFill="1" applyBorder="1" applyProtection="1">
      <alignment/>
      <protection/>
    </xf>
    <xf numFmtId="175" fontId="12" fillId="18" borderId="16" xfId="107" applyNumberFormat="1" applyFont="1" applyFill="1" applyBorder="1" applyProtection="1">
      <alignment/>
      <protection/>
    </xf>
    <xf numFmtId="39" fontId="0" fillId="18" borderId="17" xfId="0" applyNumberFormat="1" applyFont="1" applyFill="1" applyBorder="1" applyAlignment="1">
      <alignment horizontal="center"/>
    </xf>
    <xf numFmtId="10" fontId="12" fillId="18" borderId="17" xfId="0" applyNumberFormat="1" applyFont="1" applyFill="1" applyBorder="1" applyAlignment="1">
      <alignment horizontal="right"/>
    </xf>
    <xf numFmtId="175" fontId="12" fillId="18" borderId="17" xfId="107" applyNumberFormat="1" applyFont="1" applyFill="1" applyBorder="1" applyProtection="1">
      <alignment/>
      <protection/>
    </xf>
    <xf numFmtId="175" fontId="12" fillId="18" borderId="18" xfId="107" applyNumberFormat="1" applyFont="1" applyFill="1" applyBorder="1" applyProtection="1">
      <alignment/>
      <protection/>
    </xf>
    <xf numFmtId="175" fontId="34" fillId="18" borderId="19" xfId="107" applyNumberFormat="1" applyFont="1" applyFill="1" applyBorder="1" applyProtection="1">
      <alignment/>
      <protection/>
    </xf>
    <xf numFmtId="37" fontId="60" fillId="18" borderId="20" xfId="0" applyFont="1" applyFill="1" applyBorder="1" applyAlignment="1">
      <alignment horizontal="left" vertical="center"/>
    </xf>
    <xf numFmtId="37" fontId="3" fillId="18" borderId="21" xfId="109" applyFont="1" applyFill="1" applyBorder="1">
      <alignment/>
      <protection/>
    </xf>
    <xf numFmtId="37" fontId="3" fillId="18" borderId="22" xfId="109" applyFont="1" applyFill="1" applyBorder="1">
      <alignment/>
      <protection/>
    </xf>
    <xf numFmtId="39" fontId="61" fillId="19" borderId="0" xfId="0" applyNumberFormat="1" applyFont="1" applyFill="1" applyAlignment="1">
      <alignment horizontal="center"/>
    </xf>
    <xf numFmtId="175" fontId="62" fillId="19" borderId="0" xfId="107" applyNumberFormat="1" applyFont="1" applyFill="1" applyProtection="1">
      <alignment/>
      <protection/>
    </xf>
    <xf numFmtId="175" fontId="63" fillId="19" borderId="12" xfId="107" applyNumberFormat="1" applyFont="1" applyFill="1" applyBorder="1" applyProtection="1">
      <alignment/>
      <protection/>
    </xf>
    <xf numFmtId="37" fontId="0" fillId="18" borderId="23" xfId="0" applyNumberFormat="1" applyFont="1" applyFill="1" applyBorder="1" applyAlignment="1">
      <alignment/>
    </xf>
    <xf numFmtId="37" fontId="0" fillId="18" borderId="24" xfId="0" applyNumberFormat="1" applyFont="1" applyFill="1" applyBorder="1" applyAlignment="1">
      <alignment/>
    </xf>
    <xf numFmtId="37" fontId="0" fillId="18" borderId="25" xfId="0" applyNumberFormat="1" applyFont="1" applyFill="1" applyBorder="1" applyAlignment="1">
      <alignment/>
    </xf>
    <xf numFmtId="168" fontId="0" fillId="18" borderId="14" xfId="0" applyNumberFormat="1" applyFont="1" applyFill="1" applyBorder="1" applyAlignment="1">
      <alignment/>
    </xf>
    <xf numFmtId="168" fontId="0" fillId="18" borderId="0" xfId="0" applyNumberFormat="1" applyFont="1" applyFill="1" applyBorder="1" applyAlignment="1">
      <alignment/>
    </xf>
    <xf numFmtId="168" fontId="0" fillId="18" borderId="17" xfId="0" applyNumberFormat="1" applyFont="1" applyFill="1" applyBorder="1" applyAlignment="1">
      <alignment/>
    </xf>
    <xf numFmtId="17" fontId="0" fillId="18" borderId="17" xfId="0" applyNumberFormat="1" applyFont="1" applyFill="1" applyBorder="1" applyAlignment="1">
      <alignment horizontal="center"/>
    </xf>
    <xf numFmtId="17" fontId="0" fillId="18" borderId="0" xfId="0" applyNumberFormat="1" applyFont="1" applyFill="1" applyBorder="1" applyAlignment="1">
      <alignment horizontal="center"/>
    </xf>
    <xf numFmtId="17" fontId="0" fillId="18" borderId="14" xfId="0" applyNumberFormat="1" applyFont="1" applyFill="1" applyBorder="1" applyAlignment="1">
      <alignment horizontal="center"/>
    </xf>
    <xf numFmtId="37" fontId="51" fillId="0" borderId="0" xfId="0" applyFont="1" applyAlignment="1">
      <alignment/>
    </xf>
    <xf numFmtId="0" fontId="64" fillId="0" borderId="26" xfId="101" applyFont="1" applyBorder="1" applyAlignment="1">
      <alignment horizontal="center" vertical="center"/>
      <protection/>
    </xf>
    <xf numFmtId="0" fontId="64" fillId="0" borderId="27" xfId="101" applyFont="1" applyBorder="1" applyAlignment="1">
      <alignment horizontal="center" vertical="center"/>
      <protection/>
    </xf>
    <xf numFmtId="0" fontId="64" fillId="0" borderId="28" xfId="101" applyFont="1" applyBorder="1" applyAlignment="1">
      <alignment horizontal="center" vertical="center"/>
      <protection/>
    </xf>
    <xf numFmtId="0" fontId="64" fillId="20" borderId="29" xfId="101" applyFont="1" applyFill="1" applyBorder="1" applyAlignment="1">
      <alignment horizontal="center" vertical="top" wrapText="1"/>
      <protection/>
    </xf>
    <xf numFmtId="0" fontId="64" fillId="20" borderId="30" xfId="101" applyFont="1" applyFill="1" applyBorder="1" applyAlignment="1">
      <alignment horizontal="center" vertical="top" wrapText="1"/>
      <protection/>
    </xf>
    <xf numFmtId="0" fontId="64" fillId="20" borderId="31" xfId="101" applyFont="1" applyFill="1" applyBorder="1" applyAlignment="1">
      <alignment horizontal="center" vertical="top" wrapText="1"/>
      <protection/>
    </xf>
    <xf numFmtId="0" fontId="64" fillId="20" borderId="32" xfId="101" applyFont="1" applyFill="1" applyBorder="1" applyAlignment="1">
      <alignment horizontal="center" vertical="top" wrapText="1"/>
      <protection/>
    </xf>
    <xf numFmtId="0" fontId="64" fillId="20" borderId="33" xfId="101" applyFont="1" applyFill="1" applyBorder="1" applyAlignment="1">
      <alignment horizontal="center" vertical="top" wrapText="1"/>
      <protection/>
    </xf>
    <xf numFmtId="0" fontId="64" fillId="20" borderId="34" xfId="101" applyFont="1" applyFill="1" applyBorder="1" applyAlignment="1">
      <alignment horizontal="center" vertical="top" wrapText="1"/>
      <protection/>
    </xf>
    <xf numFmtId="10" fontId="5" fillId="0" borderId="35" xfId="111" applyFont="1" applyFill="1" applyBorder="1" applyAlignment="1" applyProtection="1">
      <alignment horizontal="center" wrapText="1"/>
      <protection/>
    </xf>
    <xf numFmtId="10" fontId="5" fillId="0" borderId="11" xfId="111" applyFont="1" applyFill="1" applyBorder="1" applyAlignment="1" applyProtection="1">
      <alignment horizontal="center" wrapText="1"/>
      <protection/>
    </xf>
    <xf numFmtId="10" fontId="5" fillId="0" borderId="36" xfId="111" applyFont="1" applyFill="1" applyBorder="1" applyAlignment="1" applyProtection="1">
      <alignment horizontal="center" wrapText="1"/>
      <protection/>
    </xf>
    <xf numFmtId="10" fontId="33" fillId="0" borderId="0" xfId="111" applyFont="1" applyAlignment="1" applyProtection="1">
      <alignment horizontal="center"/>
      <protection/>
    </xf>
    <xf numFmtId="172" fontId="33" fillId="0" borderId="0" xfId="111" applyNumberFormat="1" applyFont="1" applyAlignment="1" applyProtection="1">
      <alignment horizontal="center"/>
      <protection/>
    </xf>
    <xf numFmtId="37" fontId="34" fillId="0" borderId="0" xfId="109" applyNumberFormat="1" applyFont="1" applyBorder="1" applyAlignment="1" applyProtection="1">
      <alignment horizontal="center" wrapText="1"/>
      <protection/>
    </xf>
    <xf numFmtId="37" fontId="34" fillId="0" borderId="10" xfId="109" applyNumberFormat="1" applyFont="1" applyBorder="1" applyAlignment="1" applyProtection="1">
      <alignment horizontal="center" wrapText="1"/>
      <protection/>
    </xf>
    <xf numFmtId="3" fontId="34" fillId="0" borderId="0" xfId="110" applyFont="1" applyAlignment="1">
      <alignment horizontal="left" wrapText="1"/>
      <protection/>
    </xf>
    <xf numFmtId="37" fontId="65" fillId="19" borderId="0" xfId="0" applyFont="1" applyFill="1" applyAlignment="1">
      <alignment/>
    </xf>
    <xf numFmtId="166" fontId="3" fillId="19" borderId="0" xfId="109" applyNumberFormat="1" applyFont="1" applyFill="1">
      <alignment/>
      <protection/>
    </xf>
  </cellXfs>
  <cellStyles count="1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10 2" xfId="101"/>
    <cellStyle name="Normal 2" xfId="102"/>
    <cellStyle name="Normal 2 2" xfId="103"/>
    <cellStyle name="Normal 2 2 2" xfId="104"/>
    <cellStyle name="Normal 2 3" xfId="105"/>
    <cellStyle name="Normal 3" xfId="106"/>
    <cellStyle name="Normal_AMACAPST" xfId="107"/>
    <cellStyle name="Normal_COSTOF" xfId="108"/>
    <cellStyle name="Normal_COSTOFD" xfId="109"/>
    <cellStyle name="Normal_Psebonds" xfId="110"/>
    <cellStyle name="Normal_RATEOFRE" xfId="111"/>
    <cellStyle name="Normal_SCHEDULE" xfId="112"/>
    <cellStyle name="Note" xfId="113"/>
    <cellStyle name="Note 2" xfId="114"/>
    <cellStyle name="Output" xfId="115"/>
    <cellStyle name="Output 2" xfId="116"/>
    <cellStyle name="Percent" xfId="117"/>
    <cellStyle name="Percent 2" xfId="118"/>
    <cellStyle name="Percent 3" xfId="119"/>
    <cellStyle name="Title" xfId="120"/>
    <cellStyle name="Title 2" xfId="121"/>
    <cellStyle name="Total" xfId="122"/>
    <cellStyle name="Total 2" xfId="123"/>
    <cellStyle name="Warning Text" xfId="124"/>
    <cellStyle name="Warning Text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y\Downloads\Exhibit%20-%20V4%2012.31.21%20w_page5\Exhibits%20-%20V2%20-%2011.29.21\Exhibits%20Using%20Prior%20year%20GRC%20methodology\NEW-PSE-Exh-CGP-03-08-9-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y\Downloads\Exhibit%20-%20V4%2012.31.21%20w_page5\Exhibits%20-%20V2%20-%2011.29.21\Exhibits%20Using%20Prior%20year%20GRC%20methodology\NEW-PSE-Exh-CGP-03-08-9-21%20Test%20Year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Treasury%20Testimony\Support\Basket_2021-08-10_08h_51m%20Moody's%20LIBOR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Testimony%20Exhibits\NEW-PSE-Exh-CGP-03-08-9-2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y\Downloads\Exhibit%20-%20V4%2012.31.21%20w_page5\Exhibits%20-%20V2%20-%2011.29.21\NEW-PSE-Exh-CGP-03-08-9-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E14">
            <v>0.0027</v>
          </cell>
        </row>
        <row r="20">
          <cell r="F20">
            <v>0.0002</v>
          </cell>
        </row>
        <row r="22">
          <cell r="F22">
            <v>0.0001</v>
          </cell>
        </row>
        <row r="24">
          <cell r="F24">
            <v>0.0002</v>
          </cell>
        </row>
        <row r="28">
          <cell r="E28">
            <v>0.09425205479452056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C14">
            <v>233962500</v>
          </cell>
          <cell r="D14">
            <v>0.0261</v>
          </cell>
        </row>
        <row r="16">
          <cell r="C16">
            <v>4338044407</v>
          </cell>
          <cell r="D16">
            <v>0.4842</v>
          </cell>
        </row>
        <row r="26">
          <cell r="D26">
            <v>0.5104</v>
          </cell>
        </row>
        <row r="28">
          <cell r="C28">
            <v>4386402333</v>
          </cell>
          <cell r="D28">
            <v>0.4896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1">
          <cell r="P431">
            <v>0.020436894048245682</v>
          </cell>
        </row>
        <row r="436">
          <cell r="E436">
            <v>0.012104443933433597</v>
          </cell>
          <cell r="F436">
            <v>0.02224452331312932</v>
          </cell>
          <cell r="G436">
            <v>0.02294417936925686</v>
          </cell>
          <cell r="H436">
            <v>0.02360116521082818</v>
          </cell>
          <cell r="I436">
            <v>0.024326638689024314</v>
          </cell>
          <cell r="J436">
            <v>0.025186035008480153</v>
          </cell>
          <cell r="K436">
            <v>0.026025202322991624</v>
          </cell>
          <cell r="L436">
            <v>0.02662453893572092</v>
          </cell>
          <cell r="M436">
            <v>0.026825902642061316</v>
          </cell>
          <cell r="N436">
            <v>0.02676555786221739</v>
          </cell>
          <cell r="O436">
            <v>0.026654721128831927</v>
          </cell>
          <cell r="P436">
            <v>0.026646174179209815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5">
        <row r="15">
          <cell r="D15">
            <v>-47576.01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6">
          <cell r="E16">
            <v>0.0528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P14"/>
  <sheetViews>
    <sheetView view="pageLayout" workbookViewId="0" topLeftCell="A1">
      <selection activeCell="J16" sqref="J16"/>
    </sheetView>
  </sheetViews>
  <sheetFormatPr defaultColWidth="9.33203125" defaultRowHeight="11.25"/>
  <cols>
    <col min="2" max="2" width="6" style="0" customWidth="1"/>
    <col min="3" max="3" width="3.66015625" style="0" customWidth="1"/>
    <col min="16" max="16" width="20" style="0" customWidth="1"/>
  </cols>
  <sheetData>
    <row r="3" ht="12" thickBot="1"/>
    <row r="4" spans="4:16" ht="27" thickBot="1">
      <c r="D4" s="319" t="s">
        <v>146</v>
      </c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1"/>
    </row>
    <row r="7" ht="11.25" customHeight="1"/>
    <row r="8" ht="12" customHeight="1" thickBot="1"/>
    <row r="9" spans="4:16" ht="11.25">
      <c r="D9" s="322" t="s">
        <v>145</v>
      </c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4"/>
    </row>
    <row r="10" spans="4:16" ht="18.75" customHeight="1" thickBot="1">
      <c r="D10" s="325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7"/>
    </row>
    <row r="14" ht="33">
      <c r="F14" s="318" t="s">
        <v>154</v>
      </c>
    </row>
  </sheetData>
  <sheetProtection/>
  <mergeCells count="2">
    <mergeCell ref="D4:P4"/>
    <mergeCell ref="D9:P10"/>
  </mergeCells>
  <printOptions/>
  <pageMargins left="0.7" right="0.7" top="0.75" bottom="0.75" header="0.3" footer="0.3"/>
  <pageSetup horizontalDpi="1200" verticalDpi="12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Layout" workbookViewId="0" topLeftCell="A13">
      <selection activeCell="B45" sqref="B45"/>
    </sheetView>
  </sheetViews>
  <sheetFormatPr defaultColWidth="11.5" defaultRowHeight="11.25"/>
  <cols>
    <col min="1" max="1" width="3.660156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66015625" style="1" customWidth="1"/>
    <col min="9" max="9" width="11.16015625" style="1" customWidth="1"/>
    <col min="10" max="16384" width="11.5" style="1" customWidth="1"/>
  </cols>
  <sheetData>
    <row r="1" spans="2:6" ht="15.75">
      <c r="B1" s="44" t="s">
        <v>125</v>
      </c>
      <c r="C1" s="44"/>
      <c r="D1" s="44"/>
      <c r="E1" s="44"/>
      <c r="F1" s="44"/>
    </row>
    <row r="2" spans="1:6" ht="12.75">
      <c r="A2" s="45"/>
      <c r="B2" s="2"/>
      <c r="C2" s="2"/>
      <c r="D2" s="2"/>
      <c r="E2" s="2"/>
      <c r="F2" s="2"/>
    </row>
    <row r="3" spans="2:6" ht="15.75">
      <c r="B3" s="331" t="s">
        <v>2</v>
      </c>
      <c r="C3" s="331"/>
      <c r="D3" s="331"/>
      <c r="E3" s="331"/>
      <c r="F3" s="331"/>
    </row>
    <row r="4" spans="2:8" ht="15" customHeight="1">
      <c r="B4" s="332" t="s">
        <v>109</v>
      </c>
      <c r="C4" s="332"/>
      <c r="D4" s="332"/>
      <c r="E4" s="332"/>
      <c r="F4" s="332"/>
      <c r="H4" s="36"/>
    </row>
    <row r="5" spans="1:8" ht="12.75">
      <c r="A5" s="46" t="s">
        <v>135</v>
      </c>
      <c r="B5" s="276"/>
      <c r="C5" s="277"/>
      <c r="D5" s="277"/>
      <c r="E5" s="277"/>
      <c r="F5" s="277"/>
      <c r="H5" s="36"/>
    </row>
    <row r="6" spans="1:8" ht="12.75">
      <c r="A6" s="3"/>
      <c r="B6" s="190"/>
      <c r="C6" s="278"/>
      <c r="D6" s="190"/>
      <c r="E6" s="190"/>
      <c r="F6" s="190"/>
      <c r="H6" s="36"/>
    </row>
    <row r="7" spans="1:8" ht="12.75">
      <c r="A7" s="3"/>
      <c r="H7" s="36"/>
    </row>
    <row r="8" spans="1:8" ht="12.75">
      <c r="A8" s="47">
        <v>1</v>
      </c>
      <c r="B8" s="48" t="s">
        <v>1</v>
      </c>
      <c r="C8" s="48" t="s">
        <v>17</v>
      </c>
      <c r="D8" s="48" t="s">
        <v>24</v>
      </c>
      <c r="E8" s="48" t="s">
        <v>26</v>
      </c>
      <c r="F8" s="48" t="s">
        <v>27</v>
      </c>
      <c r="H8" s="36"/>
    </row>
    <row r="9" spans="1:8" ht="12.75">
      <c r="A9" s="47">
        <f>A8+1</f>
        <v>2</v>
      </c>
      <c r="B9" s="328" t="s">
        <v>111</v>
      </c>
      <c r="C9" s="329"/>
      <c r="D9" s="329"/>
      <c r="E9" s="329"/>
      <c r="F9" s="330"/>
      <c r="H9" s="36"/>
    </row>
    <row r="10" spans="1:8" ht="12.75">
      <c r="A10" s="47">
        <f>A9+1</f>
        <v>3</v>
      </c>
      <c r="B10" s="49"/>
      <c r="C10" s="49"/>
      <c r="D10" s="49"/>
      <c r="E10" s="49"/>
      <c r="F10" s="49"/>
      <c r="H10" s="36"/>
    </row>
    <row r="11" spans="1:8" ht="12.75">
      <c r="A11" s="47">
        <f>A10+1</f>
        <v>4</v>
      </c>
      <c r="B11" s="48"/>
      <c r="C11" s="48"/>
      <c r="D11" s="50"/>
      <c r="E11" s="51" t="s">
        <v>6</v>
      </c>
      <c r="F11" s="51" t="s">
        <v>3</v>
      </c>
      <c r="H11" s="36"/>
    </row>
    <row r="12" spans="1:8" ht="12.75">
      <c r="A12" s="47">
        <f aca="true" t="shared" si="0" ref="A12:A40">A11+1</f>
        <v>5</v>
      </c>
      <c r="B12" s="52" t="s">
        <v>4</v>
      </c>
      <c r="C12" s="53"/>
      <c r="D12" s="53" t="s">
        <v>5</v>
      </c>
      <c r="E12" s="53" t="s">
        <v>103</v>
      </c>
      <c r="F12" s="53" t="s">
        <v>7</v>
      </c>
      <c r="H12" s="36"/>
    </row>
    <row r="13" spans="1:8" ht="12.75">
      <c r="A13" s="47">
        <f t="shared" si="0"/>
        <v>6</v>
      </c>
      <c r="B13" s="54"/>
      <c r="C13" s="118"/>
      <c r="D13" s="118"/>
      <c r="E13" s="118"/>
      <c r="F13" s="48"/>
      <c r="H13" s="36"/>
    </row>
    <row r="14" spans="1:8" ht="12.75">
      <c r="A14" s="47">
        <f t="shared" si="0"/>
        <v>7</v>
      </c>
      <c r="B14" s="55" t="s">
        <v>121</v>
      </c>
      <c r="C14" s="118"/>
      <c r="D14" s="279">
        <f>'3 - STD Int &amp; Fees-Details'!P60</f>
        <v>0.019312365460567686</v>
      </c>
      <c r="E14" s="233">
        <f>'2 - Cost of Total Debt (R)'!G37</f>
        <v>0.0314</v>
      </c>
      <c r="F14" s="56">
        <f>ROUND(D14*E14,4)</f>
        <v>0.0006</v>
      </c>
      <c r="H14" s="267"/>
    </row>
    <row r="15" spans="1:8" ht="12.75">
      <c r="A15" s="47">
        <f t="shared" si="0"/>
        <v>8</v>
      </c>
      <c r="B15" s="57" t="s">
        <v>25</v>
      </c>
      <c r="C15" s="118"/>
      <c r="D15" s="279"/>
      <c r="E15" s="233"/>
      <c r="F15" s="233">
        <f>'3 - STD Int &amp; Fees-Details'!P48</f>
        <v>0.0001</v>
      </c>
      <c r="H15" s="36"/>
    </row>
    <row r="16" spans="1:8" ht="12.75">
      <c r="A16" s="47">
        <f t="shared" si="0"/>
        <v>9</v>
      </c>
      <c r="B16" s="58" t="s">
        <v>98</v>
      </c>
      <c r="C16" s="280"/>
      <c r="D16" s="281"/>
      <c r="E16" s="234"/>
      <c r="F16" s="234">
        <f>'3 - STD Int &amp; Fees-Details'!P55</f>
        <v>0.0001</v>
      </c>
      <c r="H16" s="36"/>
    </row>
    <row r="17" spans="1:8" ht="12.75">
      <c r="A17" s="47">
        <f t="shared" si="0"/>
        <v>10</v>
      </c>
      <c r="B17" s="59" t="s">
        <v>120</v>
      </c>
      <c r="C17" s="118"/>
      <c r="D17" s="279"/>
      <c r="E17" s="233"/>
      <c r="F17" s="60">
        <f>SUM(F14:F16)</f>
        <v>0.0008</v>
      </c>
      <c r="H17" s="36"/>
    </row>
    <row r="18" spans="1:8" ht="12.75">
      <c r="A18" s="47">
        <f t="shared" si="0"/>
        <v>11</v>
      </c>
      <c r="B18" s="55" t="s">
        <v>122</v>
      </c>
      <c r="C18" s="282"/>
      <c r="D18" s="279">
        <f>'3 - STD Int &amp; Fees-Details'!P61</f>
        <v>0.48068763453943236</v>
      </c>
      <c r="E18" s="233">
        <f>'2 - Cost of Total Debt (R)'!G35</f>
        <v>0.0508550892742289</v>
      </c>
      <c r="F18" s="233">
        <f>ROUND(D18*E18,4)</f>
        <v>0.0244</v>
      </c>
      <c r="H18" s="267"/>
    </row>
    <row r="19" spans="1:8" ht="12.75">
      <c r="A19" s="47">
        <f t="shared" si="0"/>
        <v>12</v>
      </c>
      <c r="B19" s="58" t="s">
        <v>99</v>
      </c>
      <c r="C19" s="280"/>
      <c r="D19" s="281"/>
      <c r="E19" s="234"/>
      <c r="F19" s="234">
        <f>'4 - Reacquired Debt'!K25</f>
        <v>0.0002</v>
      </c>
      <c r="H19" s="36"/>
    </row>
    <row r="20" spans="1:8" ht="12.75">
      <c r="A20" s="47">
        <f t="shared" si="0"/>
        <v>13</v>
      </c>
      <c r="B20" s="61" t="s">
        <v>123</v>
      </c>
      <c r="C20" s="283"/>
      <c r="D20" s="284"/>
      <c r="E20" s="285"/>
      <c r="F20" s="62">
        <f>F18+F19</f>
        <v>0.0246</v>
      </c>
      <c r="H20" s="36"/>
    </row>
    <row r="21" spans="1:8" ht="12.75">
      <c r="A21" s="47">
        <f t="shared" si="0"/>
        <v>14</v>
      </c>
      <c r="B21" s="63" t="s">
        <v>100</v>
      </c>
      <c r="C21" s="118"/>
      <c r="D21" s="286">
        <f>D14+D18</f>
        <v>0.5</v>
      </c>
      <c r="E21" s="233"/>
      <c r="F21" s="60">
        <f>F17+F20</f>
        <v>0.0254</v>
      </c>
      <c r="H21" s="36"/>
    </row>
    <row r="22" spans="1:8" ht="12.75">
      <c r="A22" s="47">
        <f t="shared" si="0"/>
        <v>15</v>
      </c>
      <c r="B22" s="63" t="s">
        <v>101</v>
      </c>
      <c r="C22" s="118"/>
      <c r="D22" s="287">
        <v>0.5</v>
      </c>
      <c r="E22" s="288">
        <v>0.099</v>
      </c>
      <c r="F22" s="64">
        <f>ROUND(D22*E22,4)</f>
        <v>0.0495</v>
      </c>
      <c r="H22" s="36"/>
    </row>
    <row r="23" spans="1:8" ht="12.75">
      <c r="A23" s="47">
        <f t="shared" si="0"/>
        <v>16</v>
      </c>
      <c r="B23" s="63" t="s">
        <v>102</v>
      </c>
      <c r="C23" s="289"/>
      <c r="D23" s="230">
        <v>1</v>
      </c>
      <c r="E23" s="233"/>
      <c r="F23" s="65">
        <f>F21+F22</f>
        <v>0.0749</v>
      </c>
      <c r="H23" s="36"/>
    </row>
    <row r="24" spans="1:8" ht="12.75">
      <c r="A24" s="47">
        <f t="shared" si="0"/>
        <v>17</v>
      </c>
      <c r="B24" s="48"/>
      <c r="C24" s="48"/>
      <c r="D24" s="48"/>
      <c r="E24" s="48"/>
      <c r="F24" s="48"/>
      <c r="H24" s="36"/>
    </row>
    <row r="25" spans="1:8" ht="12.75">
      <c r="A25" s="47">
        <f t="shared" si="0"/>
        <v>18</v>
      </c>
      <c r="B25" s="48"/>
      <c r="C25" s="48"/>
      <c r="D25" s="48"/>
      <c r="E25" s="48"/>
      <c r="F25" s="48"/>
      <c r="H25" s="36"/>
    </row>
    <row r="26" spans="1:8" ht="12.75">
      <c r="A26" s="47">
        <f t="shared" si="0"/>
        <v>19</v>
      </c>
      <c r="B26" s="328" t="s">
        <v>112</v>
      </c>
      <c r="C26" s="329"/>
      <c r="D26" s="329"/>
      <c r="E26" s="329"/>
      <c r="F26" s="330"/>
      <c r="H26" s="36"/>
    </row>
    <row r="27" spans="1:7" ht="12.75">
      <c r="A27" s="47">
        <f t="shared" si="0"/>
        <v>20</v>
      </c>
      <c r="B27" s="190"/>
      <c r="C27" s="190"/>
      <c r="D27" s="190"/>
      <c r="E27" s="190"/>
      <c r="F27" s="190"/>
      <c r="G27" s="66"/>
    </row>
    <row r="28" spans="1:7" ht="12.75">
      <c r="A28" s="47">
        <f t="shared" si="0"/>
        <v>21</v>
      </c>
      <c r="B28" s="191"/>
      <c r="C28" s="192" t="s">
        <v>110</v>
      </c>
      <c r="D28" s="191"/>
      <c r="E28" s="193" t="s">
        <v>6</v>
      </c>
      <c r="F28" s="193" t="s">
        <v>3</v>
      </c>
      <c r="G28" s="66"/>
    </row>
    <row r="29" spans="1:7" ht="12.75">
      <c r="A29" s="47">
        <f t="shared" si="0"/>
        <v>22</v>
      </c>
      <c r="B29" s="194" t="s">
        <v>4</v>
      </c>
      <c r="C29" s="195" t="s">
        <v>113</v>
      </c>
      <c r="D29" s="196" t="s">
        <v>5</v>
      </c>
      <c r="E29" s="196" t="s">
        <v>103</v>
      </c>
      <c r="F29" s="196" t="s">
        <v>7</v>
      </c>
      <c r="G29" s="66"/>
    </row>
    <row r="30" spans="1:7" ht="12.75">
      <c r="A30" s="47">
        <f t="shared" si="0"/>
        <v>23</v>
      </c>
      <c r="B30" s="197"/>
      <c r="C30" s="197"/>
      <c r="D30" s="198"/>
      <c r="E30" s="197"/>
      <c r="F30" s="199"/>
      <c r="G30" s="66"/>
    </row>
    <row r="31" spans="1:8" ht="12.75">
      <c r="A31" s="47">
        <f t="shared" si="0"/>
        <v>24</v>
      </c>
      <c r="B31" s="200" t="s">
        <v>121</v>
      </c>
      <c r="C31" s="201">
        <f>+'[5]Pg 1 Summary'!$C$14</f>
        <v>233962500</v>
      </c>
      <c r="D31" s="202">
        <f>+'[5]Pg 1 Summary'!$D$14</f>
        <v>0.0261</v>
      </c>
      <c r="E31" s="203">
        <f>+'[4]Pg 1 Summary'!$E$14</f>
        <v>0.0027</v>
      </c>
      <c r="F31" s="262">
        <f>ROUND(D31*E31,4)</f>
        <v>0.0001</v>
      </c>
      <c r="G31" s="66"/>
      <c r="H31" s="43"/>
    </row>
    <row r="32" spans="1:7" ht="12.75">
      <c r="A32" s="47">
        <f t="shared" si="0"/>
        <v>25</v>
      </c>
      <c r="B32" s="205" t="s">
        <v>25</v>
      </c>
      <c r="C32" s="206"/>
      <c r="D32" s="207"/>
      <c r="E32" s="208"/>
      <c r="F32" s="209">
        <f>+'[4]Pg 1 Summary'!$F$20</f>
        <v>0.0002</v>
      </c>
      <c r="G32" s="66"/>
    </row>
    <row r="33" spans="1:7" ht="12.75">
      <c r="A33" s="47">
        <f t="shared" si="0"/>
        <v>26</v>
      </c>
      <c r="B33" s="210" t="s">
        <v>98</v>
      </c>
      <c r="C33" s="211"/>
      <c r="D33" s="212"/>
      <c r="E33" s="213"/>
      <c r="F33" s="214">
        <f>+'[4]Pg 1 Summary'!$F$22</f>
        <v>0.0001</v>
      </c>
      <c r="G33" s="66"/>
    </row>
    <row r="34" spans="1:7" ht="12.75">
      <c r="A34" s="47">
        <f t="shared" si="0"/>
        <v>27</v>
      </c>
      <c r="B34" s="215" t="s">
        <v>120</v>
      </c>
      <c r="C34" s="206"/>
      <c r="D34" s="207"/>
      <c r="E34" s="208"/>
      <c r="F34" s="216">
        <f>SUM(F31:F33)</f>
        <v>0.0004</v>
      </c>
      <c r="G34" s="66"/>
    </row>
    <row r="35" spans="1:8" ht="12.75">
      <c r="A35" s="47">
        <f t="shared" si="0"/>
        <v>28</v>
      </c>
      <c r="B35" s="200" t="s">
        <v>8</v>
      </c>
      <c r="C35" s="206">
        <f>+'[5]Pg 1 Summary'!$C$16</f>
        <v>4338044407</v>
      </c>
      <c r="D35" s="202">
        <f>+'[5]Pg 1 Summary'!$D$16</f>
        <v>0.4842</v>
      </c>
      <c r="E35" s="203">
        <f>'[8]Pg 1 Summary'!$E$16</f>
        <v>0.0528</v>
      </c>
      <c r="F35" s="204">
        <f>ROUND(D35*E35,4)</f>
        <v>0.0256</v>
      </c>
      <c r="G35" s="66"/>
      <c r="H35" s="43"/>
    </row>
    <row r="36" spans="1:10" ht="12.75">
      <c r="A36" s="47">
        <f t="shared" si="0"/>
        <v>29</v>
      </c>
      <c r="B36" s="210" t="s">
        <v>99</v>
      </c>
      <c r="C36" s="211"/>
      <c r="D36" s="212"/>
      <c r="E36" s="213"/>
      <c r="F36" s="214">
        <f>+'[4]Pg 1 Summary'!$F$24</f>
        <v>0.0002</v>
      </c>
      <c r="G36" s="66"/>
      <c r="H36" s="240"/>
      <c r="I36" s="240"/>
      <c r="J36" s="241"/>
    </row>
    <row r="37" spans="1:7" ht="12.75">
      <c r="A37" s="47">
        <f t="shared" si="0"/>
        <v>30</v>
      </c>
      <c r="B37" s="217" t="s">
        <v>123</v>
      </c>
      <c r="C37" s="218"/>
      <c r="D37" s="219"/>
      <c r="E37" s="220"/>
      <c r="F37" s="221">
        <f>F35+F36</f>
        <v>0.0258</v>
      </c>
      <c r="G37" s="66"/>
    </row>
    <row r="38" spans="1:9" ht="12.75">
      <c r="A38" s="47">
        <f t="shared" si="0"/>
        <v>31</v>
      </c>
      <c r="B38" s="222" t="s">
        <v>100</v>
      </c>
      <c r="C38" s="223">
        <f>+C31+C35</f>
        <v>4572006907</v>
      </c>
      <c r="D38" s="224">
        <f>+'[5]Pg 1 Summary'!$D$26</f>
        <v>0.5104</v>
      </c>
      <c r="E38" s="203"/>
      <c r="F38" s="225">
        <f>F34+F37</f>
        <v>0.0262</v>
      </c>
      <c r="G38" s="66"/>
      <c r="H38" s="43"/>
      <c r="I38" s="42"/>
    </row>
    <row r="39" spans="1:9" ht="12.75">
      <c r="A39" s="47">
        <f t="shared" si="0"/>
        <v>32</v>
      </c>
      <c r="B39" s="222" t="s">
        <v>101</v>
      </c>
      <c r="C39" s="226">
        <f>+'[5]Pg 1 Summary'!$C$28</f>
        <v>4386402333</v>
      </c>
      <c r="D39" s="227">
        <f>+'[5]Pg 1 Summary'!$D$28</f>
        <v>0.4896</v>
      </c>
      <c r="E39" s="288">
        <f>+'[4]Pg 1 Summary'!$E$28</f>
        <v>0.09425205479452056</v>
      </c>
      <c r="F39" s="228">
        <f>ROUND(+D39*E39,4)</f>
        <v>0.0461</v>
      </c>
      <c r="G39" s="66"/>
      <c r="H39" s="43"/>
      <c r="I39" s="42"/>
    </row>
    <row r="40" spans="1:8" ht="12.75">
      <c r="A40" s="47">
        <f t="shared" si="0"/>
        <v>33</v>
      </c>
      <c r="B40" s="222" t="s">
        <v>102</v>
      </c>
      <c r="C40" s="229">
        <f>SUM(C38:C39)</f>
        <v>8958409240</v>
      </c>
      <c r="D40" s="230">
        <f>SUM(D38:D39)</f>
        <v>1</v>
      </c>
      <c r="E40" s="231"/>
      <c r="F40" s="232">
        <f>SUM(F38:F39)</f>
        <v>0.0723</v>
      </c>
      <c r="G40" s="66"/>
      <c r="H40" s="41"/>
    </row>
    <row r="41" spans="1:7" ht="12.75">
      <c r="A41" s="47"/>
      <c r="C41" s="68"/>
      <c r="D41" s="69"/>
      <c r="E41" s="67"/>
      <c r="F41" s="69"/>
      <c r="G41" s="66"/>
    </row>
    <row r="42" spans="1:6" ht="12.75">
      <c r="A42" s="47"/>
      <c r="B42" s="70"/>
      <c r="C42" s="71"/>
      <c r="E42" s="72"/>
      <c r="F42" s="72"/>
    </row>
    <row r="43" ht="12.75">
      <c r="D43" s="5"/>
    </row>
    <row r="44" spans="3:4" ht="12.75">
      <c r="C44" s="4"/>
      <c r="D44" s="5"/>
    </row>
    <row r="45" ht="12.75">
      <c r="D45" s="6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1"/>
  <sheetViews>
    <sheetView tabSelected="1" view="pageLayout" zoomScaleNormal="110" zoomScaleSheetLayoutView="100" workbookViewId="0" topLeftCell="A1">
      <selection activeCell="N14" sqref="N14"/>
    </sheetView>
  </sheetViews>
  <sheetFormatPr defaultColWidth="8.66015625" defaultRowHeight="11.25"/>
  <cols>
    <col min="1" max="1" width="5.66015625" style="9" bestFit="1" customWidth="1"/>
    <col min="2" max="2" width="11.16015625" style="7" customWidth="1"/>
    <col min="3" max="6" width="10.5" style="7" customWidth="1"/>
    <col min="7" max="7" width="10.5" style="10" customWidth="1"/>
    <col min="8" max="8" width="17.5" style="7" customWidth="1"/>
    <col min="9" max="9" width="14.66015625" style="7" customWidth="1"/>
    <col min="10" max="10" width="11.16015625" style="7" customWidth="1"/>
    <col min="11" max="12" width="6" style="7" customWidth="1"/>
    <col min="13" max="14" width="8.66015625" style="7" customWidth="1"/>
    <col min="15" max="15" width="9.83203125" style="7" bestFit="1" customWidth="1"/>
    <col min="16" max="16384" width="8.66015625" style="7" customWidth="1"/>
  </cols>
  <sheetData>
    <row r="1" spans="1:10" ht="12.75">
      <c r="A1" s="73"/>
      <c r="B1" s="74" t="s">
        <v>67</v>
      </c>
      <c r="C1" s="75"/>
      <c r="D1" s="75"/>
      <c r="E1" s="75"/>
      <c r="F1" s="75"/>
      <c r="G1" s="74"/>
      <c r="H1" s="75"/>
      <c r="I1" s="75"/>
      <c r="J1" s="74"/>
    </row>
    <row r="2" spans="1:10" s="29" customFormat="1" ht="12.75">
      <c r="A2" s="76"/>
      <c r="B2" s="74" t="s">
        <v>118</v>
      </c>
      <c r="C2" s="75"/>
      <c r="D2" s="75"/>
      <c r="E2" s="75"/>
      <c r="F2" s="75"/>
      <c r="G2" s="74"/>
      <c r="H2" s="75"/>
      <c r="I2" s="75"/>
      <c r="J2" s="74"/>
    </row>
    <row r="3" spans="1:14" s="29" customFormat="1" ht="15">
      <c r="A3" s="77"/>
      <c r="B3" s="74" t="s">
        <v>134</v>
      </c>
      <c r="C3" s="75"/>
      <c r="D3" s="75"/>
      <c r="E3" s="75"/>
      <c r="F3" s="75"/>
      <c r="G3" s="74"/>
      <c r="H3" s="75"/>
      <c r="I3" s="75"/>
      <c r="J3" s="74"/>
      <c r="L3" s="336" t="s">
        <v>155</v>
      </c>
      <c r="M3" s="337"/>
      <c r="N3" s="337"/>
    </row>
    <row r="4" spans="1:7" ht="10.5" customHeight="1">
      <c r="A4" s="303" t="s">
        <v>147</v>
      </c>
      <c r="B4" s="304"/>
      <c r="C4" s="304"/>
      <c r="D4" s="304"/>
      <c r="E4" s="304"/>
      <c r="F4" s="304"/>
      <c r="G4" s="305"/>
    </row>
    <row r="5" spans="1:9" ht="10.5" customHeight="1">
      <c r="A5" s="78">
        <v>1</v>
      </c>
      <c r="B5" s="79" t="s">
        <v>1</v>
      </c>
      <c r="C5" s="79" t="s">
        <v>17</v>
      </c>
      <c r="D5" s="79" t="s">
        <v>24</v>
      </c>
      <c r="E5" s="79" t="s">
        <v>26</v>
      </c>
      <c r="F5" s="79" t="s">
        <v>27</v>
      </c>
      <c r="G5" s="79" t="s">
        <v>28</v>
      </c>
      <c r="H5" s="79" t="s">
        <v>29</v>
      </c>
      <c r="I5" s="79" t="s">
        <v>30</v>
      </c>
    </row>
    <row r="6" spans="1:9" ht="10.5" customHeight="1">
      <c r="A6" s="78">
        <v>2</v>
      </c>
      <c r="B6" s="79"/>
      <c r="C6" s="79"/>
      <c r="D6" s="79"/>
      <c r="E6" s="79"/>
      <c r="F6" s="333" t="s">
        <v>108</v>
      </c>
      <c r="G6" s="80"/>
      <c r="H6" s="80"/>
      <c r="I6" s="333" t="s">
        <v>119</v>
      </c>
    </row>
    <row r="7" spans="1:9" ht="10.5" customHeight="1">
      <c r="A7" s="78">
        <v>3</v>
      </c>
      <c r="B7" s="79"/>
      <c r="C7" s="79"/>
      <c r="D7" s="79"/>
      <c r="E7" s="79"/>
      <c r="F7" s="333"/>
      <c r="G7" s="80"/>
      <c r="H7" s="80"/>
      <c r="I7" s="333"/>
    </row>
    <row r="8" spans="1:10" ht="10.5" customHeight="1">
      <c r="A8" s="78">
        <v>4</v>
      </c>
      <c r="B8" s="79"/>
      <c r="C8" s="81" t="s">
        <v>19</v>
      </c>
      <c r="D8" s="81" t="s">
        <v>9</v>
      </c>
      <c r="E8" s="82" t="s">
        <v>44</v>
      </c>
      <c r="F8" s="333"/>
      <c r="G8" s="333" t="s">
        <v>40</v>
      </c>
      <c r="H8" s="333" t="s">
        <v>117</v>
      </c>
      <c r="I8" s="333"/>
      <c r="J8" s="188"/>
    </row>
    <row r="9" spans="1:9" ht="9.75" customHeight="1">
      <c r="A9" s="78">
        <v>5</v>
      </c>
      <c r="B9" s="83" t="s">
        <v>107</v>
      </c>
      <c r="C9" s="84" t="s">
        <v>11</v>
      </c>
      <c r="D9" s="83" t="s">
        <v>45</v>
      </c>
      <c r="E9" s="83" t="s">
        <v>45</v>
      </c>
      <c r="F9" s="334"/>
      <c r="G9" s="334"/>
      <c r="H9" s="334" t="s">
        <v>39</v>
      </c>
      <c r="I9" s="334"/>
    </row>
    <row r="10" spans="1:11" s="11" customFormat="1" ht="12.75">
      <c r="A10" s="78">
        <v>6</v>
      </c>
      <c r="B10" s="252" t="s">
        <v>14</v>
      </c>
      <c r="C10" s="254">
        <v>0.0715</v>
      </c>
      <c r="D10" s="255">
        <v>35053</v>
      </c>
      <c r="E10" s="255">
        <v>46010</v>
      </c>
      <c r="F10" s="258">
        <v>99.211912</v>
      </c>
      <c r="G10" s="245">
        <v>0.0721</v>
      </c>
      <c r="H10" s="87">
        <v>1081500</v>
      </c>
      <c r="I10" s="259">
        <v>15000000</v>
      </c>
      <c r="J10" s="189"/>
      <c r="K10" s="185"/>
    </row>
    <row r="11" spans="1:11" s="12" customFormat="1" ht="12.75">
      <c r="A11" s="78">
        <v>7</v>
      </c>
      <c r="B11" s="252" t="s">
        <v>14</v>
      </c>
      <c r="C11" s="254">
        <v>0.072</v>
      </c>
      <c r="D11" s="255">
        <v>35054</v>
      </c>
      <c r="E11" s="255">
        <v>46013</v>
      </c>
      <c r="F11" s="258">
        <v>99.2116</v>
      </c>
      <c r="G11" s="86">
        <v>0.0726</v>
      </c>
      <c r="H11" s="87">
        <v>145200</v>
      </c>
      <c r="I11" s="259">
        <v>2000000</v>
      </c>
      <c r="J11" s="87"/>
      <c r="K11" s="186"/>
    </row>
    <row r="12" spans="1:11" s="12" customFormat="1" ht="12.75">
      <c r="A12" s="78">
        <v>8</v>
      </c>
      <c r="B12" s="252" t="s">
        <v>12</v>
      </c>
      <c r="C12" s="254">
        <v>0.0702</v>
      </c>
      <c r="D12" s="255">
        <v>35786</v>
      </c>
      <c r="E12" s="255">
        <v>46722</v>
      </c>
      <c r="F12" s="258">
        <v>98.98573577666666</v>
      </c>
      <c r="G12" s="86">
        <v>0.071</v>
      </c>
      <c r="H12" s="87">
        <v>21299999.999999996</v>
      </c>
      <c r="I12" s="259">
        <v>300000000</v>
      </c>
      <c r="J12" s="87"/>
      <c r="K12" s="186"/>
    </row>
    <row r="13" spans="1:11" s="12" customFormat="1" ht="12.75">
      <c r="A13" s="78">
        <v>9</v>
      </c>
      <c r="B13" s="252" t="s">
        <v>13</v>
      </c>
      <c r="C13" s="254">
        <v>0.07</v>
      </c>
      <c r="D13" s="255">
        <v>36228</v>
      </c>
      <c r="E13" s="255">
        <v>47186</v>
      </c>
      <c r="F13" s="258">
        <v>99.04287054999999</v>
      </c>
      <c r="G13" s="86">
        <v>0.0708</v>
      </c>
      <c r="H13" s="87">
        <v>7080000</v>
      </c>
      <c r="I13" s="259">
        <v>100000000</v>
      </c>
      <c r="J13" s="87"/>
      <c r="K13" s="186"/>
    </row>
    <row r="14" spans="1:11" ht="12.75">
      <c r="A14" s="78">
        <v>10</v>
      </c>
      <c r="B14" s="252" t="s">
        <v>41</v>
      </c>
      <c r="C14" s="254">
        <v>0.05483</v>
      </c>
      <c r="D14" s="255">
        <v>38499</v>
      </c>
      <c r="E14" s="255">
        <v>49461</v>
      </c>
      <c r="F14" s="258">
        <v>84.886606836</v>
      </c>
      <c r="G14" s="86">
        <v>0.0665</v>
      </c>
      <c r="H14" s="87">
        <v>16625000</v>
      </c>
      <c r="I14" s="259">
        <v>250000000</v>
      </c>
      <c r="J14" s="87"/>
      <c r="K14" s="187"/>
    </row>
    <row r="15" spans="1:11" ht="12.75">
      <c r="A15" s="78">
        <v>11</v>
      </c>
      <c r="B15" s="252" t="s">
        <v>41</v>
      </c>
      <c r="C15" s="254">
        <v>0.06724</v>
      </c>
      <c r="D15" s="255">
        <v>38898</v>
      </c>
      <c r="E15" s="255">
        <v>49841</v>
      </c>
      <c r="F15" s="258">
        <v>107.515271756</v>
      </c>
      <c r="G15" s="86">
        <v>0.0617</v>
      </c>
      <c r="H15" s="87">
        <v>15425000</v>
      </c>
      <c r="I15" s="259">
        <v>250000000</v>
      </c>
      <c r="J15" s="87"/>
      <c r="K15" s="187"/>
    </row>
    <row r="16" spans="1:11" ht="12.75">
      <c r="A16" s="78">
        <v>12</v>
      </c>
      <c r="B16" s="252" t="s">
        <v>41</v>
      </c>
      <c r="C16" s="254">
        <v>0.06274</v>
      </c>
      <c r="D16" s="255">
        <v>38978</v>
      </c>
      <c r="E16" s="255">
        <v>50114</v>
      </c>
      <c r="F16" s="258">
        <v>98.8127</v>
      </c>
      <c r="G16" s="86">
        <v>0.0636</v>
      </c>
      <c r="H16" s="87">
        <v>19080000</v>
      </c>
      <c r="I16" s="259">
        <v>300000000</v>
      </c>
      <c r="J16" s="87"/>
      <c r="K16" s="187"/>
    </row>
    <row r="17" spans="1:11" ht="12.75">
      <c r="A17" s="78">
        <v>13</v>
      </c>
      <c r="B17" s="252" t="s">
        <v>41</v>
      </c>
      <c r="C17" s="254">
        <v>0.05757</v>
      </c>
      <c r="D17" s="255">
        <v>40067</v>
      </c>
      <c r="E17" s="255">
        <v>51058</v>
      </c>
      <c r="F17" s="258">
        <v>98.9836</v>
      </c>
      <c r="G17" s="86">
        <v>0.0583</v>
      </c>
      <c r="H17" s="87">
        <v>20405000</v>
      </c>
      <c r="I17" s="259">
        <v>350000000</v>
      </c>
      <c r="J17" s="87"/>
      <c r="K17" s="187"/>
    </row>
    <row r="18" spans="1:11" ht="12.75">
      <c r="A18" s="78">
        <v>14</v>
      </c>
      <c r="B18" s="252" t="s">
        <v>41</v>
      </c>
      <c r="C18" s="254">
        <v>0.05795</v>
      </c>
      <c r="D18" s="255">
        <v>40245</v>
      </c>
      <c r="E18" s="255">
        <v>51210</v>
      </c>
      <c r="F18" s="258">
        <v>98.9588</v>
      </c>
      <c r="G18" s="86">
        <v>0.0587</v>
      </c>
      <c r="H18" s="87">
        <v>19077500</v>
      </c>
      <c r="I18" s="259">
        <v>325000000</v>
      </c>
      <c r="J18" s="87"/>
      <c r="K18" s="187"/>
    </row>
    <row r="19" spans="1:11" ht="12.75">
      <c r="A19" s="78">
        <v>15</v>
      </c>
      <c r="B19" s="252" t="s">
        <v>41</v>
      </c>
      <c r="C19" s="254">
        <v>0.05764</v>
      </c>
      <c r="D19" s="255">
        <v>40358</v>
      </c>
      <c r="E19" s="255">
        <v>51332</v>
      </c>
      <c r="F19" s="258">
        <v>98.9652</v>
      </c>
      <c r="G19" s="86">
        <v>0.0584</v>
      </c>
      <c r="H19" s="87">
        <v>14600000</v>
      </c>
      <c r="I19" s="259">
        <v>250000000</v>
      </c>
      <c r="J19" s="87"/>
      <c r="K19" s="187"/>
    </row>
    <row r="20" spans="1:11" ht="12.75">
      <c r="A20" s="78">
        <v>16</v>
      </c>
      <c r="B20" s="252" t="s">
        <v>41</v>
      </c>
      <c r="C20" s="254">
        <v>0.05638</v>
      </c>
      <c r="D20" s="255">
        <v>40627</v>
      </c>
      <c r="E20" s="255">
        <v>51606</v>
      </c>
      <c r="F20" s="258">
        <v>98.971</v>
      </c>
      <c r="G20" s="86">
        <v>0.0571</v>
      </c>
      <c r="H20" s="87">
        <v>17130000</v>
      </c>
      <c r="I20" s="259">
        <v>300000000</v>
      </c>
      <c r="J20" s="87"/>
      <c r="K20" s="187"/>
    </row>
    <row r="21" spans="1:11" ht="12.75">
      <c r="A21" s="78">
        <v>17</v>
      </c>
      <c r="B21" s="252" t="s">
        <v>41</v>
      </c>
      <c r="C21" s="254">
        <v>0.04434</v>
      </c>
      <c r="D21" s="255">
        <v>40863</v>
      </c>
      <c r="E21" s="255">
        <v>51820</v>
      </c>
      <c r="F21" s="258">
        <v>98.963</v>
      </c>
      <c r="G21" s="86">
        <v>0.045</v>
      </c>
      <c r="H21" s="87">
        <v>11250000</v>
      </c>
      <c r="I21" s="259">
        <v>250000000</v>
      </c>
      <c r="J21" s="87"/>
      <c r="K21" s="187"/>
    </row>
    <row r="22" spans="1:11" ht="12.75">
      <c r="A22" s="78">
        <v>18</v>
      </c>
      <c r="B22" s="252" t="s">
        <v>41</v>
      </c>
      <c r="C22" s="254">
        <v>0.047</v>
      </c>
      <c r="D22" s="255">
        <v>40869</v>
      </c>
      <c r="E22" s="255">
        <v>55472</v>
      </c>
      <c r="F22" s="258">
        <v>98.8639</v>
      </c>
      <c r="G22" s="86">
        <v>0.0476</v>
      </c>
      <c r="H22" s="87">
        <v>2142000</v>
      </c>
      <c r="I22" s="259">
        <v>45000000</v>
      </c>
      <c r="J22" s="87"/>
      <c r="K22" s="187"/>
    </row>
    <row r="23" spans="1:11" ht="12.75">
      <c r="A23" s="78">
        <v>19</v>
      </c>
      <c r="B23" s="253" t="s">
        <v>15</v>
      </c>
      <c r="C23" s="254">
        <v>0.039</v>
      </c>
      <c r="D23" s="256">
        <v>41417</v>
      </c>
      <c r="E23" s="257">
        <v>47908</v>
      </c>
      <c r="F23" s="258">
        <v>98.9391</v>
      </c>
      <c r="G23" s="86">
        <v>0.0398</v>
      </c>
      <c r="H23" s="87">
        <v>5510708</v>
      </c>
      <c r="I23" s="259">
        <v>138460000</v>
      </c>
      <c r="J23" s="87"/>
      <c r="K23" s="187"/>
    </row>
    <row r="24" spans="1:11" ht="12.75">
      <c r="A24" s="78">
        <v>20</v>
      </c>
      <c r="B24" s="253" t="s">
        <v>15</v>
      </c>
      <c r="C24" s="254">
        <v>0.04</v>
      </c>
      <c r="D24" s="256">
        <v>41417</v>
      </c>
      <c r="E24" s="257">
        <v>47908</v>
      </c>
      <c r="F24" s="258">
        <v>98.9391</v>
      </c>
      <c r="G24" s="86">
        <v>0.0408</v>
      </c>
      <c r="H24" s="87">
        <v>954720.0000000001</v>
      </c>
      <c r="I24" s="259">
        <v>23400000</v>
      </c>
      <c r="J24" s="87"/>
      <c r="K24" s="187"/>
    </row>
    <row r="25" spans="1:11" ht="12.75">
      <c r="A25" s="78">
        <v>21</v>
      </c>
      <c r="B25" s="252" t="s">
        <v>41</v>
      </c>
      <c r="C25" s="254">
        <v>0.043</v>
      </c>
      <c r="D25" s="255">
        <v>42150</v>
      </c>
      <c r="E25" s="255">
        <v>53102</v>
      </c>
      <c r="F25" s="258">
        <v>98.48301976235294</v>
      </c>
      <c r="G25" s="86">
        <v>0.0439</v>
      </c>
      <c r="H25" s="87">
        <v>18657500</v>
      </c>
      <c r="I25" s="259">
        <v>425000000</v>
      </c>
      <c r="J25" s="87"/>
      <c r="K25" s="187"/>
    </row>
    <row r="26" spans="1:11" ht="12.75">
      <c r="A26" s="78">
        <v>22</v>
      </c>
      <c r="B26" s="252" t="s">
        <v>41</v>
      </c>
      <c r="C26" s="254">
        <v>0.04223</v>
      </c>
      <c r="D26" s="255">
        <v>43265</v>
      </c>
      <c r="E26" s="255">
        <v>54224</v>
      </c>
      <c r="F26" s="258">
        <v>98.8868</v>
      </c>
      <c r="G26" s="86">
        <v>0.0429</v>
      </c>
      <c r="H26" s="87">
        <v>25740000</v>
      </c>
      <c r="I26" s="259">
        <v>600000000</v>
      </c>
      <c r="J26" s="87"/>
      <c r="K26" s="187"/>
    </row>
    <row r="27" spans="1:11" ht="12.75">
      <c r="A27" s="78">
        <v>23</v>
      </c>
      <c r="B27" s="252" t="s">
        <v>41</v>
      </c>
      <c r="C27" s="254">
        <v>0.0325</v>
      </c>
      <c r="D27" s="255">
        <v>43707</v>
      </c>
      <c r="E27" s="255">
        <v>54681</v>
      </c>
      <c r="F27" s="306">
        <v>98.83</v>
      </c>
      <c r="G27" s="245">
        <v>0.0331</v>
      </c>
      <c r="H27" s="307">
        <v>14894999.999999998</v>
      </c>
      <c r="I27" s="259">
        <v>450000000</v>
      </c>
      <c r="J27" s="189"/>
      <c r="K27" s="187"/>
    </row>
    <row r="28" spans="1:11" ht="12.75">
      <c r="A28" s="78">
        <v>24</v>
      </c>
      <c r="B28" s="264" t="s">
        <v>41</v>
      </c>
      <c r="C28" s="265">
        <v>0.02893</v>
      </c>
      <c r="D28" s="266">
        <v>44454</v>
      </c>
      <c r="E28" s="266">
        <v>55411</v>
      </c>
      <c r="F28" s="306">
        <v>98.84</v>
      </c>
      <c r="G28" s="245">
        <v>0.0295</v>
      </c>
      <c r="H28" s="87">
        <v>13275000</v>
      </c>
      <c r="I28" s="259">
        <v>450000000</v>
      </c>
      <c r="J28" s="189"/>
      <c r="K28" s="187"/>
    </row>
    <row r="29" spans="1:11" ht="12.75">
      <c r="A29" s="78">
        <v>25</v>
      </c>
      <c r="B29" s="309" t="s">
        <v>149</v>
      </c>
      <c r="C29" s="312" t="s">
        <v>150</v>
      </c>
      <c r="D29" s="317" t="s">
        <v>150</v>
      </c>
      <c r="E29" s="317" t="s">
        <v>151</v>
      </c>
      <c r="F29" s="290" t="s">
        <v>150</v>
      </c>
      <c r="G29" s="291" t="s">
        <v>150</v>
      </c>
      <c r="H29" s="292" t="s">
        <v>152</v>
      </c>
      <c r="I29" s="293" t="s">
        <v>152</v>
      </c>
      <c r="J29" s="189"/>
      <c r="K29" s="187"/>
    </row>
    <row r="30" spans="1:11" ht="12.75">
      <c r="A30" s="78">
        <v>26</v>
      </c>
      <c r="B30" s="310" t="s">
        <v>149</v>
      </c>
      <c r="C30" s="313" t="s">
        <v>150</v>
      </c>
      <c r="D30" s="316" t="s">
        <v>150</v>
      </c>
      <c r="E30" s="316" t="s">
        <v>151</v>
      </c>
      <c r="F30" s="294" t="s">
        <v>150</v>
      </c>
      <c r="G30" s="295" t="s">
        <v>150</v>
      </c>
      <c r="H30" s="296" t="s">
        <v>152</v>
      </c>
      <c r="I30" s="297" t="s">
        <v>152</v>
      </c>
      <c r="J30" s="189"/>
      <c r="K30" s="187"/>
    </row>
    <row r="31" spans="1:19" ht="12.75">
      <c r="A31" s="78">
        <v>27</v>
      </c>
      <c r="B31" s="311" t="s">
        <v>149</v>
      </c>
      <c r="C31" s="314" t="s">
        <v>150</v>
      </c>
      <c r="D31" s="315" t="s">
        <v>150</v>
      </c>
      <c r="E31" s="315" t="s">
        <v>151</v>
      </c>
      <c r="F31" s="298" t="s">
        <v>150</v>
      </c>
      <c r="G31" s="299" t="s">
        <v>150</v>
      </c>
      <c r="H31" s="300" t="s">
        <v>152</v>
      </c>
      <c r="I31" s="301" t="s">
        <v>152</v>
      </c>
      <c r="J31" s="189"/>
      <c r="K31" s="187"/>
      <c r="O31" s="275"/>
      <c r="P31" s="275"/>
      <c r="Q31" s="275"/>
      <c r="R31" s="275"/>
      <c r="S31" s="275"/>
    </row>
    <row r="32" spans="1:11" ht="12.75">
      <c r="A32" s="78">
        <v>28</v>
      </c>
      <c r="B32" s="252"/>
      <c r="C32" s="254"/>
      <c r="D32" s="255"/>
      <c r="E32" s="255"/>
      <c r="F32" s="245"/>
      <c r="G32" s="245"/>
      <c r="H32" s="88"/>
      <c r="I32" s="87"/>
      <c r="J32" s="189"/>
      <c r="K32" s="187"/>
    </row>
    <row r="33" spans="1:11" ht="12.75">
      <c r="A33" s="78">
        <v>29</v>
      </c>
      <c r="B33" s="89" t="s">
        <v>144</v>
      </c>
      <c r="C33" s="87"/>
      <c r="D33" s="90"/>
      <c r="E33" s="85"/>
      <c r="F33" s="85"/>
      <c r="G33" s="91"/>
      <c r="H33" s="92"/>
      <c r="I33" s="302" t="s">
        <v>153</v>
      </c>
      <c r="K33" s="187"/>
    </row>
    <row r="34" spans="1:10" ht="12.75">
      <c r="A34" s="78">
        <v>30</v>
      </c>
      <c r="B34" s="93"/>
      <c r="C34" s="87"/>
      <c r="D34" s="90"/>
      <c r="E34" s="85"/>
      <c r="F34" s="85"/>
      <c r="G34" s="91"/>
      <c r="H34" s="94"/>
      <c r="I34" s="88"/>
      <c r="J34" s="87"/>
    </row>
    <row r="35" spans="1:9" ht="13.5" thickBot="1">
      <c r="A35" s="78">
        <v>31</v>
      </c>
      <c r="B35" s="96" t="s">
        <v>138</v>
      </c>
      <c r="C35" s="97"/>
      <c r="D35" s="90"/>
      <c r="E35" s="85"/>
      <c r="F35" s="92"/>
      <c r="G35" s="98">
        <v>0.0508550892742289</v>
      </c>
      <c r="H35" s="308">
        <v>278055794.6666667</v>
      </c>
      <c r="I35" s="99">
        <v>5467610000</v>
      </c>
    </row>
    <row r="36" spans="1:9" ht="13.5" thickTop="1">
      <c r="A36" s="78">
        <v>32</v>
      </c>
      <c r="B36" s="97"/>
      <c r="C36" s="97"/>
      <c r="D36" s="90"/>
      <c r="E36" s="85"/>
      <c r="F36" s="92"/>
      <c r="G36" s="100"/>
      <c r="H36" s="100"/>
      <c r="I36" s="92"/>
    </row>
    <row r="37" spans="1:9" ht="12.75">
      <c r="A37" s="78">
        <v>33</v>
      </c>
      <c r="B37" s="101" t="s">
        <v>104</v>
      </c>
      <c r="C37" s="101"/>
      <c r="D37" s="90"/>
      <c r="E37" s="85"/>
      <c r="F37" s="92"/>
      <c r="G37" s="102">
        <v>0.0314</v>
      </c>
      <c r="H37" s="88">
        <v>6890206.2707811855</v>
      </c>
      <c r="I37" s="235">
        <v>219669646</v>
      </c>
    </row>
    <row r="38" spans="1:9" ht="13.5" thickBot="1">
      <c r="A38" s="78">
        <v>34</v>
      </c>
      <c r="B38" s="103" t="s">
        <v>105</v>
      </c>
      <c r="C38" s="103"/>
      <c r="D38" s="90"/>
      <c r="E38" s="85"/>
      <c r="F38" s="82" t="s">
        <v>133</v>
      </c>
      <c r="G38" s="104">
        <v>0.0501</v>
      </c>
      <c r="H38" s="308">
        <v>284946000.93744785</v>
      </c>
      <c r="I38" s="99">
        <v>5687279646</v>
      </c>
    </row>
    <row r="39" spans="1:10" ht="13.5" thickTop="1">
      <c r="A39" s="78">
        <v>35</v>
      </c>
      <c r="B39" s="103"/>
      <c r="C39" s="103"/>
      <c r="D39" s="90"/>
      <c r="E39" s="85"/>
      <c r="F39" s="85"/>
      <c r="G39" s="92"/>
      <c r="H39" s="105"/>
      <c r="I39" s="106"/>
      <c r="J39" s="107"/>
    </row>
    <row r="40" spans="1:10" ht="12.75">
      <c r="A40" s="78">
        <v>36</v>
      </c>
      <c r="B40" s="103" t="s">
        <v>115</v>
      </c>
      <c r="C40" s="103"/>
      <c r="D40" s="90"/>
      <c r="E40" s="85"/>
      <c r="F40" s="85"/>
      <c r="H40" s="108">
        <v>5467610000</v>
      </c>
      <c r="I40" s="106"/>
      <c r="J40" s="107"/>
    </row>
    <row r="41" spans="1:10" ht="12.75">
      <c r="A41" s="78">
        <v>37</v>
      </c>
      <c r="B41" s="103" t="s">
        <v>114</v>
      </c>
      <c r="C41" s="103"/>
      <c r="D41" s="90"/>
      <c r="E41" s="85"/>
      <c r="F41" s="85"/>
      <c r="H41" s="236">
        <v>0.48068763453943236</v>
      </c>
      <c r="I41" s="106"/>
      <c r="J41" s="107"/>
    </row>
    <row r="42" spans="1:10" ht="12.75">
      <c r="A42" s="78">
        <v>38</v>
      </c>
      <c r="B42" s="103" t="s">
        <v>116</v>
      </c>
      <c r="C42" s="103"/>
      <c r="D42" s="90"/>
      <c r="E42" s="85"/>
      <c r="F42" s="85"/>
      <c r="H42" s="237">
        <v>11374559291.999998</v>
      </c>
      <c r="I42" s="106"/>
      <c r="J42" s="107"/>
    </row>
    <row r="43" spans="1:10" ht="12.75">
      <c r="A43" s="78">
        <v>39</v>
      </c>
      <c r="B43" s="103"/>
      <c r="C43" s="103"/>
      <c r="D43" s="90"/>
      <c r="E43" s="85"/>
      <c r="F43" s="85"/>
      <c r="G43" s="92"/>
      <c r="H43" s="105"/>
      <c r="I43" s="106"/>
      <c r="J43" s="107"/>
    </row>
    <row r="44" spans="1:9" ht="12.75">
      <c r="A44" s="78">
        <v>40</v>
      </c>
      <c r="B44" s="109" t="s">
        <v>126</v>
      </c>
      <c r="C44" s="110"/>
      <c r="D44" s="111"/>
      <c r="E44" s="111"/>
      <c r="F44" s="111"/>
      <c r="G44" s="111"/>
      <c r="H44" s="111"/>
      <c r="I44" s="111"/>
    </row>
    <row r="45" spans="1:9" ht="12.75">
      <c r="A45" s="78">
        <v>41</v>
      </c>
      <c r="B45" s="109" t="s">
        <v>127</v>
      </c>
      <c r="C45" s="110"/>
      <c r="D45" s="111"/>
      <c r="E45" s="111"/>
      <c r="F45" s="111"/>
      <c r="G45" s="111"/>
      <c r="H45" s="112"/>
      <c r="I45" s="111"/>
    </row>
    <row r="46" spans="1:9" ht="27.75" customHeight="1">
      <c r="A46" s="78">
        <v>42</v>
      </c>
      <c r="B46" s="335" t="s">
        <v>132</v>
      </c>
      <c r="C46" s="335"/>
      <c r="D46" s="335"/>
      <c r="E46" s="335"/>
      <c r="F46" s="335"/>
      <c r="G46" s="335"/>
      <c r="H46" s="335"/>
      <c r="I46" s="335"/>
    </row>
    <row r="47" spans="1:39" ht="12.75">
      <c r="A47" s="242"/>
      <c r="B47" s="243"/>
      <c r="C47" s="243"/>
      <c r="D47" s="243"/>
      <c r="E47" s="243"/>
      <c r="F47" s="244"/>
      <c r="G47" s="38"/>
      <c r="H47" s="243"/>
      <c r="I47" s="244"/>
      <c r="J47" s="87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</row>
    <row r="48" spans="1:10" ht="12.75">
      <c r="A48" s="17"/>
      <c r="B48" s="39"/>
      <c r="C48" s="39"/>
      <c r="D48" s="39"/>
      <c r="E48" s="39"/>
      <c r="F48" s="39"/>
      <c r="G48" s="38"/>
      <c r="H48" s="39"/>
      <c r="I48" s="111"/>
      <c r="J48" s="93"/>
    </row>
    <row r="49" spans="1:10" ht="12.75">
      <c r="A49" s="17"/>
      <c r="B49" s="39"/>
      <c r="C49" s="39"/>
      <c r="D49" s="39"/>
      <c r="E49" s="39"/>
      <c r="F49" s="39"/>
      <c r="G49" s="37"/>
      <c r="H49" s="39"/>
      <c r="I49" s="32"/>
      <c r="J49" s="95"/>
    </row>
    <row r="50" spans="1:10" ht="12.75">
      <c r="A50" s="17"/>
      <c r="B50" s="12"/>
      <c r="C50" s="12"/>
      <c r="D50" s="12"/>
      <c r="E50" s="12"/>
      <c r="F50" s="12"/>
      <c r="G50" s="38"/>
      <c r="H50" s="12"/>
      <c r="I50" s="12"/>
      <c r="J50" s="17" t="s">
        <v>148</v>
      </c>
    </row>
    <row r="51" spans="1:9" ht="12.75">
      <c r="A51" s="17"/>
      <c r="B51" s="12"/>
      <c r="C51" s="12"/>
      <c r="D51" s="12"/>
      <c r="E51" s="12"/>
      <c r="F51" s="12"/>
      <c r="G51" s="18"/>
      <c r="H51" s="12"/>
      <c r="I51" s="94"/>
    </row>
    <row r="52" spans="1:9" ht="12.75">
      <c r="A52" s="19"/>
      <c r="B52" s="20"/>
      <c r="C52" s="20"/>
      <c r="D52" s="21"/>
      <c r="E52" s="22"/>
      <c r="F52" s="22"/>
      <c r="G52" s="113"/>
      <c r="H52" s="24"/>
      <c r="I52" s="94"/>
    </row>
    <row r="53" spans="1:9" ht="12.75">
      <c r="A53" s="19"/>
      <c r="B53" s="20"/>
      <c r="C53" s="20"/>
      <c r="D53" s="21"/>
      <c r="E53" s="22"/>
      <c r="F53" s="22"/>
      <c r="G53" s="23"/>
      <c r="H53" s="24"/>
      <c r="I53" s="25"/>
    </row>
    <row r="54" spans="1:9" ht="12.75">
      <c r="A54" s="19"/>
      <c r="B54" s="20"/>
      <c r="C54" s="20"/>
      <c r="D54" s="21"/>
      <c r="E54" s="22"/>
      <c r="F54" s="22"/>
      <c r="G54" s="23"/>
      <c r="H54" s="24"/>
      <c r="I54" s="25"/>
    </row>
    <row r="55" spans="1:9" ht="12.75" hidden="1">
      <c r="A55" s="26"/>
      <c r="B55" s="12"/>
      <c r="C55" s="12"/>
      <c r="D55" s="12"/>
      <c r="E55" s="12"/>
      <c r="F55" s="12"/>
      <c r="G55" s="18"/>
      <c r="H55" s="12"/>
      <c r="I55" s="27"/>
    </row>
    <row r="56" spans="1:9" ht="12.75" hidden="1">
      <c r="A56" s="26"/>
      <c r="B56" s="12"/>
      <c r="C56" s="12"/>
      <c r="D56" s="12"/>
      <c r="E56" s="12"/>
      <c r="F56" s="12"/>
      <c r="G56" s="18"/>
      <c r="H56" s="12"/>
      <c r="I56" s="28"/>
    </row>
    <row r="57" spans="1:9" ht="12.75" hidden="1">
      <c r="A57" s="26"/>
      <c r="B57" s="12"/>
      <c r="C57" s="12"/>
      <c r="D57" s="12"/>
      <c r="E57" s="12"/>
      <c r="F57" s="12"/>
      <c r="G57" s="18"/>
      <c r="H57" s="12"/>
      <c r="I57" s="12"/>
    </row>
    <row r="58" spans="1:9" ht="12.75">
      <c r="A58" s="19"/>
      <c r="B58" s="20"/>
      <c r="C58" s="20"/>
      <c r="D58" s="21"/>
      <c r="E58" s="22"/>
      <c r="F58" s="22"/>
      <c r="G58" s="23"/>
      <c r="H58" s="24"/>
      <c r="I58" s="25"/>
    </row>
    <row r="59" spans="1:9" ht="12.75">
      <c r="A59" s="19"/>
      <c r="B59" s="20"/>
      <c r="C59" s="20"/>
      <c r="D59" s="21"/>
      <c r="E59" s="22"/>
      <c r="F59" s="22"/>
      <c r="G59" s="23"/>
      <c r="H59" s="24"/>
      <c r="I59" s="25"/>
    </row>
    <row r="60" spans="1:9" ht="12.75">
      <c r="A60" s="26"/>
      <c r="B60" s="12"/>
      <c r="C60" s="12"/>
      <c r="D60" s="12"/>
      <c r="E60" s="12"/>
      <c r="F60" s="12"/>
      <c r="G60" s="18"/>
      <c r="H60" s="12"/>
      <c r="I60" s="12"/>
    </row>
    <row r="61" spans="1:9" ht="12.75">
      <c r="A61" s="26"/>
      <c r="B61" s="12"/>
      <c r="C61" s="12"/>
      <c r="D61" s="12"/>
      <c r="E61" s="12"/>
      <c r="F61" s="12"/>
      <c r="G61" s="18"/>
      <c r="H61" s="12"/>
      <c r="I61" s="12"/>
    </row>
    <row r="62" spans="1:9" ht="12.75">
      <c r="A62" s="26"/>
      <c r="B62" s="12"/>
      <c r="C62" s="12"/>
      <c r="D62" s="12"/>
      <c r="E62" s="12"/>
      <c r="F62" s="12"/>
      <c r="G62" s="18"/>
      <c r="H62" s="12"/>
      <c r="I62" s="12"/>
    </row>
    <row r="63" spans="1:9" ht="12.75">
      <c r="A63" s="26"/>
      <c r="B63" s="12"/>
      <c r="C63" s="12"/>
      <c r="D63" s="12"/>
      <c r="E63" s="12"/>
      <c r="F63" s="12"/>
      <c r="G63" s="18"/>
      <c r="H63" s="12"/>
      <c r="I63" s="12"/>
    </row>
    <row r="64" spans="1:9" ht="12.75">
      <c r="A64" s="26"/>
      <c r="B64" s="12"/>
      <c r="C64" s="12"/>
      <c r="D64" s="12"/>
      <c r="E64" s="12"/>
      <c r="F64" s="12"/>
      <c r="G64" s="18"/>
      <c r="H64" s="12"/>
      <c r="I64" s="12"/>
    </row>
    <row r="65" spans="1:9" ht="12.75">
      <c r="A65" s="26"/>
      <c r="B65" s="12"/>
      <c r="C65" s="12"/>
      <c r="D65" s="12"/>
      <c r="E65" s="12"/>
      <c r="F65" s="12"/>
      <c r="G65" s="18"/>
      <c r="H65" s="12"/>
      <c r="I65" s="12"/>
    </row>
    <row r="66" spans="1:9" ht="12.75">
      <c r="A66" s="26"/>
      <c r="B66" s="12"/>
      <c r="C66" s="12"/>
      <c r="D66" s="12"/>
      <c r="E66" s="12"/>
      <c r="F66" s="12"/>
      <c r="G66" s="18"/>
      <c r="H66" s="12"/>
      <c r="I66" s="12"/>
    </row>
    <row r="67" spans="1:9" ht="12.75">
      <c r="A67" s="26"/>
      <c r="B67" s="12"/>
      <c r="C67" s="12"/>
      <c r="D67" s="12"/>
      <c r="E67" s="12"/>
      <c r="F67" s="12"/>
      <c r="G67" s="18"/>
      <c r="H67" s="12"/>
      <c r="I67" s="12"/>
    </row>
    <row r="68" spans="1:9" ht="12.75">
      <c r="A68" s="26"/>
      <c r="B68" s="12"/>
      <c r="C68" s="12"/>
      <c r="D68" s="12"/>
      <c r="E68" s="12"/>
      <c r="F68" s="12"/>
      <c r="G68" s="18"/>
      <c r="H68" s="12"/>
      <c r="I68" s="12"/>
    </row>
    <row r="69" spans="1:9" ht="12.75">
      <c r="A69" s="17"/>
      <c r="B69" s="12"/>
      <c r="C69" s="12"/>
      <c r="D69" s="20"/>
      <c r="E69" s="12"/>
      <c r="F69" s="12"/>
      <c r="G69" s="18"/>
      <c r="H69" s="12"/>
      <c r="I69" s="12"/>
    </row>
    <row r="70" spans="4:6" ht="12.75">
      <c r="D70" s="8"/>
      <c r="F70" s="14"/>
    </row>
    <row r="71" ht="12.75">
      <c r="D71" s="13"/>
    </row>
  </sheetData>
  <sheetProtection/>
  <mergeCells count="5">
    <mergeCell ref="G8:G9"/>
    <mergeCell ref="H8:H9"/>
    <mergeCell ref="F6:F9"/>
    <mergeCell ref="I6:I9"/>
    <mergeCell ref="B46:I46"/>
  </mergeCells>
  <printOptions horizontalCentered="1"/>
  <pageMargins left="0.2" right="0.2" top="0.41" bottom="0.35" header="0.17" footer="0.17"/>
  <pageSetup fitToHeight="1" fitToWidth="1" horizontalDpi="600" verticalDpi="600" orientation="landscape" scale="95" r:id="rId1"/>
  <headerFooter alignWithMargins="0">
    <oddFooter>&amp;C&amp;A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view="pageLayout" zoomScaleSheetLayoutView="100" workbookViewId="0" topLeftCell="A37">
      <selection activeCell="M65" sqref="M65"/>
    </sheetView>
  </sheetViews>
  <sheetFormatPr defaultColWidth="10.5" defaultRowHeight="11.25"/>
  <cols>
    <col min="1" max="1" width="3.5" style="115" customWidth="1"/>
    <col min="2" max="2" width="31.5" style="115" customWidth="1"/>
    <col min="3" max="3" width="17.5" style="115" bestFit="1" customWidth="1"/>
    <col min="4" max="15" width="13.66015625" style="115" customWidth="1"/>
    <col min="16" max="16" width="15.66015625" style="115" customWidth="1"/>
    <col min="17" max="17" width="2" style="115" customWidth="1"/>
    <col min="18" max="18" width="8" style="115" bestFit="1" customWidth="1"/>
    <col min="19" max="16384" width="10.5" style="115" customWidth="1"/>
  </cols>
  <sheetData>
    <row r="1" spans="1:16" ht="12.75">
      <c r="A1" s="114"/>
      <c r="B1" s="74" t="s">
        <v>67</v>
      </c>
      <c r="C1" s="75"/>
      <c r="D1" s="75"/>
      <c r="E1" s="75"/>
      <c r="F1" s="75"/>
      <c r="G1" s="74"/>
      <c r="H1" s="75"/>
      <c r="I1" s="75"/>
      <c r="J1" s="74"/>
      <c r="K1" s="74"/>
      <c r="L1" s="75"/>
      <c r="M1" s="75"/>
      <c r="N1" s="75"/>
      <c r="O1" s="75"/>
      <c r="P1" s="74"/>
    </row>
    <row r="2" spans="1:16" ht="12.75">
      <c r="A2" s="114"/>
      <c r="B2" s="74" t="s">
        <v>68</v>
      </c>
      <c r="C2" s="75"/>
      <c r="D2" s="75"/>
      <c r="E2" s="75"/>
      <c r="F2" s="75"/>
      <c r="G2" s="74"/>
      <c r="H2" s="75"/>
      <c r="I2" s="75"/>
      <c r="J2" s="74"/>
      <c r="K2" s="74"/>
      <c r="L2" s="75"/>
      <c r="M2" s="75"/>
      <c r="N2" s="75"/>
      <c r="O2" s="75"/>
      <c r="P2" s="74"/>
    </row>
    <row r="3" spans="1:16" ht="13.5" customHeight="1">
      <c r="A3" s="114"/>
      <c r="B3" s="74" t="str">
        <f>'2 - Cost of Total Debt (R)'!$B$3</f>
        <v>For The 12 Months Ended December 31, 2025</v>
      </c>
      <c r="C3" s="75"/>
      <c r="D3" s="75"/>
      <c r="E3" s="75"/>
      <c r="F3" s="75"/>
      <c r="G3" s="74"/>
      <c r="H3" s="75"/>
      <c r="I3" s="75"/>
      <c r="J3" s="74"/>
      <c r="K3" s="74"/>
      <c r="L3" s="75"/>
      <c r="M3" s="75"/>
      <c r="N3" s="75"/>
      <c r="O3" s="75"/>
      <c r="P3" s="74"/>
    </row>
    <row r="4" spans="1:16" ht="12.75">
      <c r="A4" s="114"/>
      <c r="B4" s="116"/>
      <c r="C4" s="116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2">
      <c r="A5" s="117">
        <v>1</v>
      </c>
      <c r="B5" s="118" t="s">
        <v>1</v>
      </c>
      <c r="C5" s="118" t="s">
        <v>17</v>
      </c>
      <c r="D5" s="118" t="s">
        <v>24</v>
      </c>
      <c r="E5" s="118" t="s">
        <v>26</v>
      </c>
      <c r="F5" s="118" t="s">
        <v>27</v>
      </c>
      <c r="G5" s="118" t="s">
        <v>28</v>
      </c>
      <c r="H5" s="118" t="s">
        <v>29</v>
      </c>
      <c r="I5" s="118" t="s">
        <v>30</v>
      </c>
      <c r="J5" s="118" t="s">
        <v>31</v>
      </c>
      <c r="K5" s="118" t="s">
        <v>33</v>
      </c>
      <c r="L5" s="118" t="s">
        <v>34</v>
      </c>
      <c r="M5" s="118" t="s">
        <v>35</v>
      </c>
      <c r="N5" s="118" t="s">
        <v>36</v>
      </c>
      <c r="O5" s="118" t="s">
        <v>37</v>
      </c>
      <c r="P5" s="118" t="s">
        <v>38</v>
      </c>
    </row>
    <row r="6" spans="1:16" ht="12">
      <c r="A6" s="117"/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8"/>
    </row>
    <row r="7" spans="1:16" ht="12" customHeight="1">
      <c r="A7" s="117">
        <f>A5+1</f>
        <v>2</v>
      </c>
      <c r="B7" s="114"/>
      <c r="C7" s="119">
        <v>45657</v>
      </c>
      <c r="D7" s="119">
        <v>45688</v>
      </c>
      <c r="E7" s="119">
        <v>45716</v>
      </c>
      <c r="F7" s="119">
        <v>45747</v>
      </c>
      <c r="G7" s="119">
        <v>45777</v>
      </c>
      <c r="H7" s="119">
        <v>45808</v>
      </c>
      <c r="I7" s="119">
        <v>45838</v>
      </c>
      <c r="J7" s="119">
        <v>45869</v>
      </c>
      <c r="K7" s="119">
        <v>45900</v>
      </c>
      <c r="L7" s="119">
        <v>45930</v>
      </c>
      <c r="M7" s="119">
        <v>45961</v>
      </c>
      <c r="N7" s="119">
        <v>45991</v>
      </c>
      <c r="O7" s="119">
        <v>46022</v>
      </c>
      <c r="P7" s="120" t="s">
        <v>143</v>
      </c>
    </row>
    <row r="8" spans="1:16" ht="12">
      <c r="A8" s="117">
        <f>A7+1</f>
        <v>3</v>
      </c>
      <c r="B8" s="121" t="s">
        <v>69</v>
      </c>
      <c r="C8" s="122">
        <v>219669.646</v>
      </c>
      <c r="D8" s="122">
        <v>219669.646</v>
      </c>
      <c r="E8" s="122">
        <v>219669.646</v>
      </c>
      <c r="F8" s="122">
        <v>219669.646</v>
      </c>
      <c r="G8" s="122">
        <v>219669.646</v>
      </c>
      <c r="H8" s="122">
        <v>219669.646</v>
      </c>
      <c r="I8" s="122">
        <v>219669.646</v>
      </c>
      <c r="J8" s="122">
        <v>219669.646</v>
      </c>
      <c r="K8" s="122">
        <v>219669.646</v>
      </c>
      <c r="L8" s="122">
        <v>219669.646</v>
      </c>
      <c r="M8" s="122">
        <v>219669.646</v>
      </c>
      <c r="N8" s="122">
        <v>219669.646</v>
      </c>
      <c r="O8" s="122">
        <v>219669.646</v>
      </c>
      <c r="P8" s="124">
        <f>ROUND(((C8+O8)+(SUM(D8:N8)*2))/24,3)</f>
        <v>219669.646</v>
      </c>
    </row>
    <row r="9" spans="1:16" ht="5.25" customHeight="1">
      <c r="A9" s="117"/>
      <c r="B9" s="125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</row>
    <row r="10" spans="1:16" ht="12">
      <c r="A10" s="117">
        <f>A8+1</f>
        <v>4</v>
      </c>
      <c r="B10" s="121" t="s">
        <v>70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3"/>
    </row>
    <row r="11" spans="1:16" ht="12">
      <c r="A11" s="117">
        <f>A10+1</f>
        <v>5</v>
      </c>
      <c r="B11" s="125" t="s">
        <v>71</v>
      </c>
      <c r="C11" s="122">
        <f>MIN(0.5*C8,125000)</f>
        <v>109834.823</v>
      </c>
      <c r="D11" s="122">
        <f>+C11</f>
        <v>109834.823</v>
      </c>
      <c r="E11" s="122">
        <f aca="true" t="shared" si="0" ref="E11:O11">+D11</f>
        <v>109834.823</v>
      </c>
      <c r="F11" s="122">
        <f t="shared" si="0"/>
        <v>109834.823</v>
      </c>
      <c r="G11" s="122">
        <f t="shared" si="0"/>
        <v>109834.823</v>
      </c>
      <c r="H11" s="122">
        <f t="shared" si="0"/>
        <v>109834.823</v>
      </c>
      <c r="I11" s="122">
        <f t="shared" si="0"/>
        <v>109834.823</v>
      </c>
      <c r="J11" s="122">
        <f t="shared" si="0"/>
        <v>109834.823</v>
      </c>
      <c r="K11" s="122">
        <f t="shared" si="0"/>
        <v>109834.823</v>
      </c>
      <c r="L11" s="122">
        <f t="shared" si="0"/>
        <v>109834.823</v>
      </c>
      <c r="M11" s="122">
        <f t="shared" si="0"/>
        <v>109834.823</v>
      </c>
      <c r="N11" s="122">
        <f t="shared" si="0"/>
        <v>109834.823</v>
      </c>
      <c r="O11" s="122">
        <f t="shared" si="0"/>
        <v>109834.823</v>
      </c>
      <c r="P11" s="124">
        <f>ROUND(((C11+O11)+(SUM(D11:N11)*2))/24,3)</f>
        <v>109834.823</v>
      </c>
    </row>
    <row r="12" spans="1:16" ht="12">
      <c r="A12" s="117">
        <f>A11+1</f>
        <v>6</v>
      </c>
      <c r="B12" s="125" t="s">
        <v>72</v>
      </c>
      <c r="C12" s="127">
        <f>C8-C11</f>
        <v>109834.823</v>
      </c>
      <c r="D12" s="127">
        <f aca="true" t="shared" si="1" ref="D12:O12">D8-D11</f>
        <v>109834.823</v>
      </c>
      <c r="E12" s="127">
        <f t="shared" si="1"/>
        <v>109834.823</v>
      </c>
      <c r="F12" s="127">
        <f t="shared" si="1"/>
        <v>109834.823</v>
      </c>
      <c r="G12" s="127">
        <f t="shared" si="1"/>
        <v>109834.823</v>
      </c>
      <c r="H12" s="127">
        <f t="shared" si="1"/>
        <v>109834.823</v>
      </c>
      <c r="I12" s="127">
        <f t="shared" si="1"/>
        <v>109834.823</v>
      </c>
      <c r="J12" s="127">
        <f t="shared" si="1"/>
        <v>109834.823</v>
      </c>
      <c r="K12" s="127">
        <f t="shared" si="1"/>
        <v>109834.823</v>
      </c>
      <c r="L12" s="127">
        <f t="shared" si="1"/>
        <v>109834.823</v>
      </c>
      <c r="M12" s="127">
        <f t="shared" si="1"/>
        <v>109834.823</v>
      </c>
      <c r="N12" s="127">
        <f t="shared" si="1"/>
        <v>109834.823</v>
      </c>
      <c r="O12" s="127">
        <f t="shared" si="1"/>
        <v>109834.823</v>
      </c>
      <c r="P12" s="124">
        <f>ROUND(((C12+O12)+(SUM(D12:N12)*2))/24,3)</f>
        <v>109834.823</v>
      </c>
    </row>
    <row r="13" spans="1:16" ht="12">
      <c r="A13" s="117">
        <f>A12+1</f>
        <v>7</v>
      </c>
      <c r="B13" s="128" t="s">
        <v>73</v>
      </c>
      <c r="C13" s="129">
        <f aca="true" t="shared" si="2" ref="C13:O13">SUM(C11:C12)</f>
        <v>219669.646</v>
      </c>
      <c r="D13" s="129">
        <f t="shared" si="2"/>
        <v>219669.646</v>
      </c>
      <c r="E13" s="129">
        <f t="shared" si="2"/>
        <v>219669.646</v>
      </c>
      <c r="F13" s="129">
        <f t="shared" si="2"/>
        <v>219669.646</v>
      </c>
      <c r="G13" s="129">
        <f t="shared" si="2"/>
        <v>219669.646</v>
      </c>
      <c r="H13" s="129">
        <f t="shared" si="2"/>
        <v>219669.646</v>
      </c>
      <c r="I13" s="129">
        <f t="shared" si="2"/>
        <v>219669.646</v>
      </c>
      <c r="J13" s="129">
        <f t="shared" si="2"/>
        <v>219669.646</v>
      </c>
      <c r="K13" s="129">
        <f t="shared" si="2"/>
        <v>219669.646</v>
      </c>
      <c r="L13" s="129">
        <f t="shared" si="2"/>
        <v>219669.646</v>
      </c>
      <c r="M13" s="129">
        <f t="shared" si="2"/>
        <v>219669.646</v>
      </c>
      <c r="N13" s="129">
        <f t="shared" si="2"/>
        <v>219669.646</v>
      </c>
      <c r="O13" s="129">
        <f t="shared" si="2"/>
        <v>219669.646</v>
      </c>
      <c r="P13" s="130">
        <f>ROUND(((C13+O13)+(SUM(D13:N13)*2))/24,3)</f>
        <v>219669.646</v>
      </c>
    </row>
    <row r="14" spans="1:16" ht="5.25" customHeight="1">
      <c r="A14" s="117"/>
      <c r="B14" s="125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</row>
    <row r="15" spans="1:16" ht="13.5" customHeight="1">
      <c r="A15" s="117">
        <f>A13+1</f>
        <v>8</v>
      </c>
      <c r="B15" s="121" t="s">
        <v>61</v>
      </c>
      <c r="M15" s="131"/>
      <c r="N15" s="132"/>
      <c r="O15" s="133"/>
      <c r="P15" s="134"/>
    </row>
    <row r="16" spans="1:16" ht="12">
      <c r="A16" s="117">
        <f>A15+1</f>
        <v>9</v>
      </c>
      <c r="B16" s="125" t="s">
        <v>142</v>
      </c>
      <c r="C16" s="239">
        <f>'[6]Sheet1'!$P$431</f>
        <v>0.020436894048245682</v>
      </c>
      <c r="D16" s="239">
        <f>'[6]Sheet1'!E436</f>
        <v>0.012104443933433597</v>
      </c>
      <c r="E16" s="239">
        <f>'[6]Sheet1'!F436</f>
        <v>0.02224452331312932</v>
      </c>
      <c r="F16" s="239">
        <f>'[6]Sheet1'!G436</f>
        <v>0.02294417936925686</v>
      </c>
      <c r="G16" s="239">
        <f>'[6]Sheet1'!H436</f>
        <v>0.02360116521082818</v>
      </c>
      <c r="H16" s="239">
        <f>'[6]Sheet1'!I436</f>
        <v>0.024326638689024314</v>
      </c>
      <c r="I16" s="239">
        <f>'[6]Sheet1'!J436</f>
        <v>0.025186035008480153</v>
      </c>
      <c r="J16" s="239">
        <f>'[6]Sheet1'!K436</f>
        <v>0.026025202322991624</v>
      </c>
      <c r="K16" s="239">
        <f>'[6]Sheet1'!L436</f>
        <v>0.02662453893572092</v>
      </c>
      <c r="L16" s="239">
        <f>'[6]Sheet1'!M436</f>
        <v>0.026825902642061316</v>
      </c>
      <c r="M16" s="239">
        <f>'[6]Sheet1'!N436</f>
        <v>0.02676555786221739</v>
      </c>
      <c r="N16" s="239">
        <f>'[6]Sheet1'!O436</f>
        <v>0.026654721128831927</v>
      </c>
      <c r="O16" s="239">
        <f>'[6]Sheet1'!P436</f>
        <v>0.026646174179209815</v>
      </c>
      <c r="P16" s="123"/>
    </row>
    <row r="17" spans="1:18" ht="12">
      <c r="A17" s="117">
        <f>A16+1</f>
        <v>10</v>
      </c>
      <c r="B17" s="125" t="s">
        <v>74</v>
      </c>
      <c r="C17" s="135">
        <f>0.2%-0.09525%</f>
        <v>0.0010475</v>
      </c>
      <c r="D17" s="135">
        <f>C17</f>
        <v>0.0010475</v>
      </c>
      <c r="E17" s="135">
        <f aca="true" t="shared" si="3" ref="E17:O18">D17</f>
        <v>0.0010475</v>
      </c>
      <c r="F17" s="135">
        <f t="shared" si="3"/>
        <v>0.0010475</v>
      </c>
      <c r="G17" s="135">
        <f t="shared" si="3"/>
        <v>0.0010475</v>
      </c>
      <c r="H17" s="135">
        <f t="shared" si="3"/>
        <v>0.0010475</v>
      </c>
      <c r="I17" s="135">
        <f t="shared" si="3"/>
        <v>0.0010475</v>
      </c>
      <c r="J17" s="135">
        <f t="shared" si="3"/>
        <v>0.0010475</v>
      </c>
      <c r="K17" s="135">
        <f t="shared" si="3"/>
        <v>0.0010475</v>
      </c>
      <c r="L17" s="135">
        <f t="shared" si="3"/>
        <v>0.0010475</v>
      </c>
      <c r="M17" s="135">
        <f t="shared" si="3"/>
        <v>0.0010475</v>
      </c>
      <c r="N17" s="135">
        <f t="shared" si="3"/>
        <v>0.0010475</v>
      </c>
      <c r="O17" s="135">
        <f t="shared" si="3"/>
        <v>0.0010475</v>
      </c>
      <c r="P17" s="123"/>
      <c r="R17" s="263"/>
    </row>
    <row r="18" spans="1:16" ht="12">
      <c r="A18" s="117">
        <f>A17+1</f>
        <v>11</v>
      </c>
      <c r="B18" s="125" t="s">
        <v>75</v>
      </c>
      <c r="C18" s="135">
        <v>0.0125</v>
      </c>
      <c r="D18" s="135">
        <f>C18</f>
        <v>0.0125</v>
      </c>
      <c r="E18" s="135">
        <f t="shared" si="3"/>
        <v>0.0125</v>
      </c>
      <c r="F18" s="135">
        <f t="shared" si="3"/>
        <v>0.0125</v>
      </c>
      <c r="G18" s="135">
        <f t="shared" si="3"/>
        <v>0.0125</v>
      </c>
      <c r="H18" s="135">
        <f t="shared" si="3"/>
        <v>0.0125</v>
      </c>
      <c r="I18" s="135">
        <f t="shared" si="3"/>
        <v>0.0125</v>
      </c>
      <c r="J18" s="135">
        <f t="shared" si="3"/>
        <v>0.0125</v>
      </c>
      <c r="K18" s="135">
        <f t="shared" si="3"/>
        <v>0.0125</v>
      </c>
      <c r="L18" s="135">
        <f t="shared" si="3"/>
        <v>0.0125</v>
      </c>
      <c r="M18" s="135">
        <f t="shared" si="3"/>
        <v>0.0125</v>
      </c>
      <c r="N18" s="135">
        <f t="shared" si="3"/>
        <v>0.0125</v>
      </c>
      <c r="O18" s="135">
        <f t="shared" si="3"/>
        <v>0.0125</v>
      </c>
      <c r="P18" s="123"/>
    </row>
    <row r="19" spans="1:16" ht="6" customHeight="1">
      <c r="A19" s="117"/>
      <c r="B19" s="12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23"/>
    </row>
    <row r="20" spans="1:16" ht="12" customHeight="1">
      <c r="A20" s="117">
        <f>A18+1</f>
        <v>12</v>
      </c>
      <c r="B20" s="121" t="s">
        <v>76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23"/>
    </row>
    <row r="21" spans="1:16" ht="12">
      <c r="A21" s="117">
        <f>A20+1</f>
        <v>13</v>
      </c>
      <c r="B21" s="137" t="s">
        <v>77</v>
      </c>
      <c r="C21" s="138">
        <f aca="true" t="shared" si="4" ref="C21:O21">C16+C17</f>
        <v>0.021484394048245682</v>
      </c>
      <c r="D21" s="138">
        <f t="shared" si="4"/>
        <v>0.013151943933433597</v>
      </c>
      <c r="E21" s="138">
        <f t="shared" si="4"/>
        <v>0.02329202331312932</v>
      </c>
      <c r="F21" s="138">
        <f t="shared" si="4"/>
        <v>0.02399167936925686</v>
      </c>
      <c r="G21" s="138">
        <f t="shared" si="4"/>
        <v>0.02464866521082818</v>
      </c>
      <c r="H21" s="138">
        <f t="shared" si="4"/>
        <v>0.025374138689024314</v>
      </c>
      <c r="I21" s="138">
        <f t="shared" si="4"/>
        <v>0.026233535008480153</v>
      </c>
      <c r="J21" s="138">
        <f t="shared" si="4"/>
        <v>0.027072702322991624</v>
      </c>
      <c r="K21" s="138">
        <f t="shared" si="4"/>
        <v>0.02767203893572092</v>
      </c>
      <c r="L21" s="138">
        <f t="shared" si="4"/>
        <v>0.027873402642061316</v>
      </c>
      <c r="M21" s="138">
        <f t="shared" si="4"/>
        <v>0.02781305786221739</v>
      </c>
      <c r="N21" s="138">
        <f t="shared" si="4"/>
        <v>0.027702221128831927</v>
      </c>
      <c r="O21" s="138">
        <f t="shared" si="4"/>
        <v>0.027693674179209815</v>
      </c>
      <c r="P21" s="123"/>
    </row>
    <row r="22" spans="1:16" ht="12">
      <c r="A22" s="117">
        <f>A21+1</f>
        <v>14</v>
      </c>
      <c r="B22" s="137" t="s">
        <v>72</v>
      </c>
      <c r="C22" s="138">
        <f aca="true" t="shared" si="5" ref="C22:O22">C16+C18</f>
        <v>0.03293689404824568</v>
      </c>
      <c r="D22" s="138">
        <f t="shared" si="5"/>
        <v>0.024604443933433598</v>
      </c>
      <c r="E22" s="138">
        <f t="shared" si="5"/>
        <v>0.03474452331312932</v>
      </c>
      <c r="F22" s="138">
        <f t="shared" si="5"/>
        <v>0.03544417936925686</v>
      </c>
      <c r="G22" s="138">
        <f t="shared" si="5"/>
        <v>0.03610116521082818</v>
      </c>
      <c r="H22" s="138">
        <f t="shared" si="5"/>
        <v>0.03682663868902432</v>
      </c>
      <c r="I22" s="138">
        <f t="shared" si="5"/>
        <v>0.037686035008480154</v>
      </c>
      <c r="J22" s="138">
        <f t="shared" si="5"/>
        <v>0.03852520232299163</v>
      </c>
      <c r="K22" s="138">
        <f t="shared" si="5"/>
        <v>0.03912453893572092</v>
      </c>
      <c r="L22" s="138">
        <f t="shared" si="5"/>
        <v>0.03932590264206132</v>
      </c>
      <c r="M22" s="138">
        <f t="shared" si="5"/>
        <v>0.03926555786221739</v>
      </c>
      <c r="N22" s="138">
        <f t="shared" si="5"/>
        <v>0.03915472112883193</v>
      </c>
      <c r="O22" s="138">
        <f t="shared" si="5"/>
        <v>0.03914617417920982</v>
      </c>
      <c r="P22" s="123"/>
    </row>
    <row r="23" spans="1:16" ht="5.25" customHeight="1">
      <c r="A23" s="117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1:16" ht="12">
      <c r="A24" s="117">
        <f>A22+1</f>
        <v>15</v>
      </c>
      <c r="B24" s="125" t="s">
        <v>78</v>
      </c>
      <c r="C24" s="125"/>
      <c r="D24" s="125">
        <f aca="true" t="shared" si="6" ref="D24:O24">D7-C7</f>
        <v>31</v>
      </c>
      <c r="E24" s="125">
        <f t="shared" si="6"/>
        <v>28</v>
      </c>
      <c r="F24" s="125">
        <f t="shared" si="6"/>
        <v>31</v>
      </c>
      <c r="G24" s="125">
        <f t="shared" si="6"/>
        <v>30</v>
      </c>
      <c r="H24" s="125">
        <f t="shared" si="6"/>
        <v>31</v>
      </c>
      <c r="I24" s="125">
        <f t="shared" si="6"/>
        <v>30</v>
      </c>
      <c r="J24" s="125">
        <f t="shared" si="6"/>
        <v>31</v>
      </c>
      <c r="K24" s="125">
        <f t="shared" si="6"/>
        <v>31</v>
      </c>
      <c r="L24" s="125">
        <f t="shared" si="6"/>
        <v>30</v>
      </c>
      <c r="M24" s="125">
        <f t="shared" si="6"/>
        <v>31</v>
      </c>
      <c r="N24" s="125">
        <f t="shared" si="6"/>
        <v>30</v>
      </c>
      <c r="O24" s="125">
        <f t="shared" si="6"/>
        <v>31</v>
      </c>
      <c r="P24" s="139"/>
    </row>
    <row r="25" spans="1:16" ht="3.75" customHeight="1">
      <c r="A25" s="117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39"/>
    </row>
    <row r="26" spans="1:16" ht="12">
      <c r="A26" s="117">
        <f>A24+1</f>
        <v>16</v>
      </c>
      <c r="B26" s="121" t="s">
        <v>79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40" t="s">
        <v>53</v>
      </c>
    </row>
    <row r="27" spans="1:16" ht="12">
      <c r="A27" s="117">
        <f>A26+1</f>
        <v>17</v>
      </c>
      <c r="B27" s="125" t="s">
        <v>80</v>
      </c>
      <c r="C27" s="125"/>
      <c r="D27" s="123">
        <f>AVERAGE(C11:D11)*(D21*D24/360)*1000</f>
        <v>124391.06793075748</v>
      </c>
      <c r="E27" s="123">
        <f aca="true" t="shared" si="7" ref="E27:O27">AVERAGE(D11:E11)*(E21*E24/360)*1000</f>
        <v>198976.96450406694</v>
      </c>
      <c r="F27" s="123">
        <f t="shared" si="7"/>
        <v>226913.27101902073</v>
      </c>
      <c r="G27" s="123">
        <f t="shared" si="7"/>
        <v>225606.81505146425</v>
      </c>
      <c r="H27" s="123">
        <f t="shared" si="7"/>
        <v>239988.56939522104</v>
      </c>
      <c r="I27" s="123">
        <f t="shared" si="7"/>
        <v>240112.9728600601</v>
      </c>
      <c r="J27" s="123">
        <f t="shared" si="7"/>
        <v>256053.58194750466</v>
      </c>
      <c r="K27" s="123">
        <f t="shared" si="7"/>
        <v>261722.10681992915</v>
      </c>
      <c r="L27" s="123">
        <f t="shared" si="7"/>
        <v>255122.52046654472</v>
      </c>
      <c r="M27" s="123">
        <f t="shared" si="7"/>
        <v>263055.86363596545</v>
      </c>
      <c r="N27" s="123">
        <f t="shared" si="7"/>
        <v>253555.71286600956</v>
      </c>
      <c r="O27" s="123">
        <f t="shared" si="7"/>
        <v>261926.7329235795</v>
      </c>
      <c r="P27" s="124">
        <f>SUM(D27:O27)</f>
        <v>2807426.179420124</v>
      </c>
    </row>
    <row r="28" spans="1:16" ht="12">
      <c r="A28" s="117">
        <f>A27+1</f>
        <v>18</v>
      </c>
      <c r="B28" s="125" t="s">
        <v>81</v>
      </c>
      <c r="C28" s="125"/>
      <c r="D28" s="123">
        <f>AVERAGE(C12:D12)*(D22*D24/360)*1000</f>
        <v>232708.79743806997</v>
      </c>
      <c r="E28" s="123">
        <f aca="true" t="shared" si="8" ref="E28:O28">AVERAGE(D12:E12)*(E22*E24/360)*1000</f>
        <v>296812.333091317</v>
      </c>
      <c r="F28" s="123">
        <f t="shared" si="8"/>
        <v>335231.0005263332</v>
      </c>
      <c r="G28" s="123">
        <f t="shared" si="8"/>
        <v>330430.42425208923</v>
      </c>
      <c r="H28" s="123">
        <f t="shared" si="8"/>
        <v>348306.29890253354</v>
      </c>
      <c r="I28" s="123">
        <f t="shared" si="8"/>
        <v>344936.58206068515</v>
      </c>
      <c r="J28" s="123">
        <f t="shared" si="8"/>
        <v>364371.31145481725</v>
      </c>
      <c r="K28" s="123">
        <f t="shared" si="8"/>
        <v>370039.8363272416</v>
      </c>
      <c r="L28" s="123">
        <f t="shared" si="8"/>
        <v>359946.1296671697</v>
      </c>
      <c r="M28" s="123">
        <f t="shared" si="8"/>
        <v>371373.593143278</v>
      </c>
      <c r="N28" s="123">
        <f t="shared" si="8"/>
        <v>358379.3220666346</v>
      </c>
      <c r="O28" s="123">
        <f t="shared" si="8"/>
        <v>370244.462430892</v>
      </c>
      <c r="P28" s="124">
        <f>SUM(D28:O28)</f>
        <v>4082780.091361061</v>
      </c>
    </row>
    <row r="29" spans="1:16" ht="12.75" thickBot="1">
      <c r="A29" s="117">
        <f>A28+1</f>
        <v>19</v>
      </c>
      <c r="B29" s="141" t="s">
        <v>82</v>
      </c>
      <c r="C29" s="125"/>
      <c r="D29" s="142">
        <f aca="true" t="shared" si="9" ref="D29:O29">SUM(D27:D28)</f>
        <v>357099.8653688275</v>
      </c>
      <c r="E29" s="142">
        <f t="shared" si="9"/>
        <v>495789.29759538395</v>
      </c>
      <c r="F29" s="142">
        <f t="shared" si="9"/>
        <v>562144.2715453539</v>
      </c>
      <c r="G29" s="142">
        <f t="shared" si="9"/>
        <v>556037.2393035535</v>
      </c>
      <c r="H29" s="142">
        <f t="shared" si="9"/>
        <v>588294.8682977546</v>
      </c>
      <c r="I29" s="142">
        <f t="shared" si="9"/>
        <v>585049.5549207453</v>
      </c>
      <c r="J29" s="142">
        <f t="shared" si="9"/>
        <v>620424.893402322</v>
      </c>
      <c r="K29" s="142">
        <f t="shared" si="9"/>
        <v>631761.9431471708</v>
      </c>
      <c r="L29" s="142">
        <f t="shared" si="9"/>
        <v>615068.6501337144</v>
      </c>
      <c r="M29" s="142">
        <f t="shared" si="9"/>
        <v>634429.4567792434</v>
      </c>
      <c r="N29" s="142">
        <f t="shared" si="9"/>
        <v>611935.0349326441</v>
      </c>
      <c r="O29" s="142">
        <f t="shared" si="9"/>
        <v>632171.1953544714</v>
      </c>
      <c r="P29" s="143">
        <f>SUM(D29:O29)</f>
        <v>6890206.2707811855</v>
      </c>
    </row>
    <row r="30" spans="1:16" ht="5.25" customHeight="1" thickTop="1">
      <c r="A30" s="117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9"/>
    </row>
    <row r="31" spans="1:18" ht="12">
      <c r="A31" s="117">
        <f>A29+1</f>
        <v>20</v>
      </c>
      <c r="B31" s="114" t="s">
        <v>83</v>
      </c>
      <c r="C31" s="131"/>
      <c r="D31" s="144">
        <f aca="true" t="shared" si="10" ref="D31:O31">(+D29/1000)/((D13+C13)/2)*(360/D24)</f>
        <v>0.018878193933433596</v>
      </c>
      <c r="E31" s="144">
        <f t="shared" si="10"/>
        <v>0.029018273313129325</v>
      </c>
      <c r="F31" s="144">
        <f t="shared" si="10"/>
        <v>0.029717929369256865</v>
      </c>
      <c r="G31" s="144">
        <f t="shared" si="10"/>
        <v>0.030374915210828184</v>
      </c>
      <c r="H31" s="144">
        <f t="shared" si="10"/>
        <v>0.031100388689024313</v>
      </c>
      <c r="I31" s="144">
        <f t="shared" si="10"/>
        <v>0.03195978500848016</v>
      </c>
      <c r="J31" s="144">
        <f t="shared" si="10"/>
        <v>0.032798952322991626</v>
      </c>
      <c r="K31" s="144">
        <f t="shared" si="10"/>
        <v>0.03339828893572092</v>
      </c>
      <c r="L31" s="144">
        <f t="shared" si="10"/>
        <v>0.033599652642061315</v>
      </c>
      <c r="M31" s="144">
        <f t="shared" si="10"/>
        <v>0.033539307862217385</v>
      </c>
      <c r="N31" s="144">
        <f t="shared" si="10"/>
        <v>0.033428471128831926</v>
      </c>
      <c r="O31" s="144">
        <f t="shared" si="10"/>
        <v>0.033419924179209824</v>
      </c>
      <c r="P31" s="144">
        <f>ROUND(P29/(P8*1000),4)</f>
        <v>0.0314</v>
      </c>
      <c r="R31" s="144"/>
    </row>
    <row r="32" spans="1:16" ht="4.5" customHeight="1">
      <c r="A32" s="117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9"/>
    </row>
    <row r="33" spans="1:16" ht="12">
      <c r="A33" s="117">
        <f>A31+1</f>
        <v>21</v>
      </c>
      <c r="B33" s="121" t="s">
        <v>84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9"/>
    </row>
    <row r="34" spans="1:16" ht="12">
      <c r="A34" s="117">
        <f>A33+1</f>
        <v>22</v>
      </c>
      <c r="B34" s="125" t="s">
        <v>85</v>
      </c>
      <c r="C34" s="145">
        <v>800000</v>
      </c>
      <c r="D34" s="122">
        <f>C34</f>
        <v>800000</v>
      </c>
      <c r="E34" s="122">
        <f aca="true" t="shared" si="11" ref="E34:O34">D34</f>
        <v>800000</v>
      </c>
      <c r="F34" s="122">
        <f t="shared" si="11"/>
        <v>800000</v>
      </c>
      <c r="G34" s="122">
        <f t="shared" si="11"/>
        <v>800000</v>
      </c>
      <c r="H34" s="122">
        <f t="shared" si="11"/>
        <v>800000</v>
      </c>
      <c r="I34" s="122">
        <f t="shared" si="11"/>
        <v>800000</v>
      </c>
      <c r="J34" s="122">
        <f t="shared" si="11"/>
        <v>800000</v>
      </c>
      <c r="K34" s="122">
        <f t="shared" si="11"/>
        <v>800000</v>
      </c>
      <c r="L34" s="122">
        <f t="shared" si="11"/>
        <v>800000</v>
      </c>
      <c r="M34" s="122">
        <f t="shared" si="11"/>
        <v>800000</v>
      </c>
      <c r="N34" s="122">
        <f t="shared" si="11"/>
        <v>800000</v>
      </c>
      <c r="O34" s="122">
        <f t="shared" si="11"/>
        <v>800000</v>
      </c>
      <c r="P34" s="139"/>
    </row>
    <row r="35" spans="1:16" ht="12">
      <c r="A35" s="117">
        <f>A34+1</f>
        <v>23</v>
      </c>
      <c r="B35" s="125" t="s">
        <v>86</v>
      </c>
      <c r="C35" s="123">
        <f>C12+C43</f>
        <v>109834.823</v>
      </c>
      <c r="D35" s="123">
        <f aca="true" t="shared" si="12" ref="D35:O35">D12+D43</f>
        <v>109834.823</v>
      </c>
      <c r="E35" s="123">
        <f t="shared" si="12"/>
        <v>109834.823</v>
      </c>
      <c r="F35" s="123">
        <f t="shared" si="12"/>
        <v>109834.823</v>
      </c>
      <c r="G35" s="123">
        <f t="shared" si="12"/>
        <v>109834.823</v>
      </c>
      <c r="H35" s="123">
        <f t="shared" si="12"/>
        <v>109834.823</v>
      </c>
      <c r="I35" s="123">
        <f t="shared" si="12"/>
        <v>109834.823</v>
      </c>
      <c r="J35" s="123">
        <f t="shared" si="12"/>
        <v>109834.823</v>
      </c>
      <c r="K35" s="123">
        <f t="shared" si="12"/>
        <v>109834.823</v>
      </c>
      <c r="L35" s="123">
        <f t="shared" si="12"/>
        <v>109834.823</v>
      </c>
      <c r="M35" s="123">
        <f t="shared" si="12"/>
        <v>109834.823</v>
      </c>
      <c r="N35" s="123">
        <f t="shared" si="12"/>
        <v>109834.823</v>
      </c>
      <c r="O35" s="123">
        <f t="shared" si="12"/>
        <v>109834.823</v>
      </c>
      <c r="P35" s="139"/>
    </row>
    <row r="36" spans="1:16" ht="12">
      <c r="A36" s="117">
        <f>A35+1</f>
        <v>24</v>
      </c>
      <c r="B36" s="146" t="s">
        <v>87</v>
      </c>
      <c r="C36" s="147">
        <f>C34-C35</f>
        <v>690165.177</v>
      </c>
      <c r="D36" s="147">
        <f aca="true" t="shared" si="13" ref="D36:O36">D34-D35</f>
        <v>690165.177</v>
      </c>
      <c r="E36" s="147">
        <f t="shared" si="13"/>
        <v>690165.177</v>
      </c>
      <c r="F36" s="147">
        <f t="shared" si="13"/>
        <v>690165.177</v>
      </c>
      <c r="G36" s="147">
        <f t="shared" si="13"/>
        <v>690165.177</v>
      </c>
      <c r="H36" s="147">
        <f t="shared" si="13"/>
        <v>690165.177</v>
      </c>
      <c r="I36" s="147">
        <f t="shared" si="13"/>
        <v>690165.177</v>
      </c>
      <c r="J36" s="147">
        <f t="shared" si="13"/>
        <v>690165.177</v>
      </c>
      <c r="K36" s="147">
        <f t="shared" si="13"/>
        <v>690165.177</v>
      </c>
      <c r="L36" s="147">
        <f t="shared" si="13"/>
        <v>690165.177</v>
      </c>
      <c r="M36" s="147">
        <f t="shared" si="13"/>
        <v>690165.177</v>
      </c>
      <c r="N36" s="147">
        <f t="shared" si="13"/>
        <v>690165.177</v>
      </c>
      <c r="O36" s="147">
        <f t="shared" si="13"/>
        <v>690165.177</v>
      </c>
      <c r="P36" s="139"/>
    </row>
    <row r="37" spans="1:16" ht="4.5" customHeight="1">
      <c r="A37" s="117"/>
      <c r="B37" s="128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39"/>
    </row>
    <row r="38" spans="1:16" ht="12">
      <c r="A38" s="117">
        <f>A36+1</f>
        <v>25</v>
      </c>
      <c r="B38" s="121" t="s">
        <v>88</v>
      </c>
      <c r="C38" s="148" t="s">
        <v>11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9"/>
    </row>
    <row r="39" spans="1:16" ht="12">
      <c r="A39" s="117">
        <f>A38+1</f>
        <v>26</v>
      </c>
      <c r="B39" s="137" t="s">
        <v>89</v>
      </c>
      <c r="C39" s="238">
        <v>0.00175</v>
      </c>
      <c r="D39" s="123">
        <f>AVERAGE(C36:D36)*($C39*D$24/360)*1000</f>
        <v>104004.05792291668</v>
      </c>
      <c r="E39" s="123">
        <f aca="true" t="shared" si="14" ref="E39:O39">AVERAGE(D36:E36)*($C39*E$24/360)*1000</f>
        <v>93939.14909166668</v>
      </c>
      <c r="F39" s="123">
        <f t="shared" si="14"/>
        <v>104004.05792291668</v>
      </c>
      <c r="G39" s="123">
        <f t="shared" si="14"/>
        <v>100649.0883125</v>
      </c>
      <c r="H39" s="123">
        <f t="shared" si="14"/>
        <v>104004.05792291668</v>
      </c>
      <c r="I39" s="123">
        <f t="shared" si="14"/>
        <v>100649.0883125</v>
      </c>
      <c r="J39" s="123">
        <f t="shared" si="14"/>
        <v>104004.05792291668</v>
      </c>
      <c r="K39" s="123">
        <f t="shared" si="14"/>
        <v>104004.05792291668</v>
      </c>
      <c r="L39" s="123">
        <f t="shared" si="14"/>
        <v>100649.0883125</v>
      </c>
      <c r="M39" s="123">
        <f t="shared" si="14"/>
        <v>104004.05792291668</v>
      </c>
      <c r="N39" s="123">
        <f t="shared" si="14"/>
        <v>100649.0883125</v>
      </c>
      <c r="O39" s="123">
        <f t="shared" si="14"/>
        <v>104004.05792291668</v>
      </c>
      <c r="P39" s="124">
        <f>SUM(D39:O39)</f>
        <v>1224563.9078020835</v>
      </c>
    </row>
    <row r="40" spans="1:18" ht="12.75" thickBot="1">
      <c r="A40" s="117">
        <f>A39+1</f>
        <v>27</v>
      </c>
      <c r="B40" s="141" t="s">
        <v>90</v>
      </c>
      <c r="C40" s="149"/>
      <c r="D40" s="150">
        <f aca="true" t="shared" si="15" ref="D40:O40">SUM(D39:D39)</f>
        <v>104004.05792291668</v>
      </c>
      <c r="E40" s="150">
        <f t="shared" si="15"/>
        <v>93939.14909166668</v>
      </c>
      <c r="F40" s="150">
        <f t="shared" si="15"/>
        <v>104004.05792291668</v>
      </c>
      <c r="G40" s="150">
        <f t="shared" si="15"/>
        <v>100649.0883125</v>
      </c>
      <c r="H40" s="150">
        <f t="shared" si="15"/>
        <v>104004.05792291668</v>
      </c>
      <c r="I40" s="150">
        <f t="shared" si="15"/>
        <v>100649.0883125</v>
      </c>
      <c r="J40" s="150">
        <f t="shared" si="15"/>
        <v>104004.05792291668</v>
      </c>
      <c r="K40" s="150">
        <f t="shared" si="15"/>
        <v>104004.05792291668</v>
      </c>
      <c r="L40" s="150">
        <f t="shared" si="15"/>
        <v>100649.0883125</v>
      </c>
      <c r="M40" s="150">
        <f t="shared" si="15"/>
        <v>104004.05792291668</v>
      </c>
      <c r="N40" s="150">
        <f t="shared" si="15"/>
        <v>100649.0883125</v>
      </c>
      <c r="O40" s="150">
        <f t="shared" si="15"/>
        <v>104004.05792291668</v>
      </c>
      <c r="P40" s="143">
        <f>SUM(D40:O40)</f>
        <v>1224563.9078020835</v>
      </c>
      <c r="R40" s="151"/>
    </row>
    <row r="41" spans="1:16" ht="6" customHeight="1" thickTop="1">
      <c r="A41" s="117"/>
      <c r="B41" s="152"/>
      <c r="C41" s="153"/>
      <c r="D41" s="153"/>
      <c r="E41" s="153"/>
      <c r="F41" s="153"/>
      <c r="G41" s="153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1:16" ht="12" customHeight="1">
      <c r="A42" s="117">
        <f>A40+1</f>
        <v>28</v>
      </c>
      <c r="B42" s="121" t="s">
        <v>91</v>
      </c>
      <c r="C42" s="154">
        <v>0.01</v>
      </c>
      <c r="D42" s="153"/>
      <c r="E42" s="153"/>
      <c r="F42" s="153"/>
      <c r="G42" s="153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1:16" ht="12" customHeight="1">
      <c r="A43" s="117">
        <f>A42+1</f>
        <v>29</v>
      </c>
      <c r="B43" s="125" t="s">
        <v>92</v>
      </c>
      <c r="C43" s="122"/>
      <c r="D43" s="145">
        <v>0</v>
      </c>
      <c r="E43" s="145">
        <f aca="true" t="shared" si="16" ref="E43:O43">D43</f>
        <v>0</v>
      </c>
      <c r="F43" s="145">
        <f t="shared" si="16"/>
        <v>0</v>
      </c>
      <c r="G43" s="145">
        <f t="shared" si="16"/>
        <v>0</v>
      </c>
      <c r="H43" s="145">
        <f t="shared" si="16"/>
        <v>0</v>
      </c>
      <c r="I43" s="145">
        <f t="shared" si="16"/>
        <v>0</v>
      </c>
      <c r="J43" s="145">
        <f t="shared" si="16"/>
        <v>0</v>
      </c>
      <c r="K43" s="145">
        <f t="shared" si="16"/>
        <v>0</v>
      </c>
      <c r="L43" s="145">
        <f t="shared" si="16"/>
        <v>0</v>
      </c>
      <c r="M43" s="145">
        <f t="shared" si="16"/>
        <v>0</v>
      </c>
      <c r="N43" s="145">
        <f t="shared" si="16"/>
        <v>0</v>
      </c>
      <c r="O43" s="145">
        <f t="shared" si="16"/>
        <v>0</v>
      </c>
      <c r="P43" s="124"/>
    </row>
    <row r="44" spans="1:16" ht="12" customHeight="1">
      <c r="A44" s="117">
        <f>A43+1</f>
        <v>30</v>
      </c>
      <c r="B44" s="125" t="s">
        <v>93</v>
      </c>
      <c r="C44" s="122"/>
      <c r="D44" s="145">
        <f aca="true" t="shared" si="17" ref="D44:I44">1937250/1000</f>
        <v>1937.25</v>
      </c>
      <c r="E44" s="145">
        <f t="shared" si="17"/>
        <v>1937.25</v>
      </c>
      <c r="F44" s="145">
        <f t="shared" si="17"/>
        <v>1937.25</v>
      </c>
      <c r="G44" s="145">
        <f t="shared" si="17"/>
        <v>1937.25</v>
      </c>
      <c r="H44" s="145">
        <f t="shared" si="17"/>
        <v>1937.25</v>
      </c>
      <c r="I44" s="145">
        <f t="shared" si="17"/>
        <v>1937.25</v>
      </c>
      <c r="J44" s="145">
        <f aca="true" t="shared" si="18" ref="J44:O44">1737375/1000</f>
        <v>1737.375</v>
      </c>
      <c r="K44" s="145">
        <f t="shared" si="18"/>
        <v>1737.375</v>
      </c>
      <c r="L44" s="145">
        <f t="shared" si="18"/>
        <v>1737.375</v>
      </c>
      <c r="M44" s="145">
        <f t="shared" si="18"/>
        <v>1737.375</v>
      </c>
      <c r="N44" s="145">
        <f t="shared" si="18"/>
        <v>1737.375</v>
      </c>
      <c r="O44" s="145">
        <f t="shared" si="18"/>
        <v>1737.375</v>
      </c>
      <c r="P44" s="124"/>
    </row>
    <row r="45" spans="1:18" ht="12" customHeight="1" thickBot="1">
      <c r="A45" s="117">
        <f>A44+1</f>
        <v>31</v>
      </c>
      <c r="B45" s="141" t="s">
        <v>128</v>
      </c>
      <c r="C45" s="154">
        <v>0.01</v>
      </c>
      <c r="D45" s="150">
        <f>D43*($C42*D$24/360)*1000+D44*($C45*D$24/360)*1000</f>
        <v>1668.1875</v>
      </c>
      <c r="E45" s="150">
        <f aca="true" t="shared" si="19" ref="E45:O45">E43*($C42*E$24/360)*1000+E44*($C45*E$24/360)*1000</f>
        <v>1506.75</v>
      </c>
      <c r="F45" s="150">
        <f t="shared" si="19"/>
        <v>1668.1875</v>
      </c>
      <c r="G45" s="150">
        <f t="shared" si="19"/>
        <v>1614.375</v>
      </c>
      <c r="H45" s="150">
        <f t="shared" si="19"/>
        <v>1668.1875</v>
      </c>
      <c r="I45" s="150">
        <f t="shared" si="19"/>
        <v>1614.375</v>
      </c>
      <c r="J45" s="150">
        <f t="shared" si="19"/>
        <v>1496.0729166666667</v>
      </c>
      <c r="K45" s="150">
        <f t="shared" si="19"/>
        <v>1496.0729166666667</v>
      </c>
      <c r="L45" s="150">
        <f t="shared" si="19"/>
        <v>1447.8125</v>
      </c>
      <c r="M45" s="150">
        <f t="shared" si="19"/>
        <v>1496.0729166666667</v>
      </c>
      <c r="N45" s="150">
        <f t="shared" si="19"/>
        <v>1447.8125</v>
      </c>
      <c r="O45" s="150">
        <f t="shared" si="19"/>
        <v>1496.0729166666667</v>
      </c>
      <c r="P45" s="143">
        <f>SUM(D45:O45)</f>
        <v>18619.979166666668</v>
      </c>
      <c r="R45" s="151"/>
    </row>
    <row r="46" spans="1:18" ht="12.75" customHeight="1" thickTop="1">
      <c r="A46" s="117">
        <f aca="true" t="shared" si="20" ref="A46:A64">A45+1</f>
        <v>32</v>
      </c>
      <c r="B46" s="141"/>
      <c r="C46" s="155"/>
      <c r="D46" s="123"/>
      <c r="E46" s="123"/>
      <c r="F46" s="156"/>
      <c r="G46" s="123"/>
      <c r="H46" s="123"/>
      <c r="I46" s="123"/>
      <c r="J46" s="123"/>
      <c r="K46" s="123"/>
      <c r="L46" s="123"/>
      <c r="M46" s="123"/>
      <c r="N46" s="123"/>
      <c r="O46" s="157" t="s">
        <v>94</v>
      </c>
      <c r="P46" s="124">
        <f>P40+P45</f>
        <v>1243183.8869687503</v>
      </c>
      <c r="R46" s="151"/>
    </row>
    <row r="47" spans="1:18" ht="12.75" customHeight="1">
      <c r="A47" s="117">
        <f t="shared" si="20"/>
        <v>33</v>
      </c>
      <c r="B47" s="141"/>
      <c r="C47" s="155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57" t="s">
        <v>106</v>
      </c>
      <c r="P47" s="124">
        <f>'2 - Cost of Total Debt (R)'!H42</f>
        <v>11374559291.999998</v>
      </c>
      <c r="R47" s="151"/>
    </row>
    <row r="48" spans="1:18" ht="12.75" customHeight="1">
      <c r="A48" s="117">
        <f t="shared" si="20"/>
        <v>34</v>
      </c>
      <c r="B48" s="141"/>
      <c r="C48" s="155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57" t="s">
        <v>95</v>
      </c>
      <c r="P48" s="158">
        <f>ROUND(P46/P47,4)</f>
        <v>0.0001</v>
      </c>
      <c r="R48" s="151"/>
    </row>
    <row r="49" spans="1:18" ht="12" customHeight="1">
      <c r="A49" s="117">
        <f t="shared" si="20"/>
        <v>35</v>
      </c>
      <c r="B49" s="141"/>
      <c r="C49" s="155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58"/>
      <c r="R49" s="151"/>
    </row>
    <row r="50" spans="1:16" ht="6" customHeight="1">
      <c r="A50" s="117">
        <f t="shared" si="20"/>
        <v>36</v>
      </c>
      <c r="B50" s="152"/>
      <c r="C50" s="153"/>
      <c r="D50" s="153"/>
      <c r="E50" s="153"/>
      <c r="F50" s="153"/>
      <c r="G50" s="153"/>
      <c r="H50" s="114"/>
      <c r="I50" s="114"/>
      <c r="J50" s="114"/>
      <c r="K50" s="114"/>
      <c r="L50" s="114"/>
      <c r="M50" s="114"/>
      <c r="N50" s="114"/>
      <c r="O50" s="114"/>
      <c r="P50" s="114"/>
    </row>
    <row r="51" spans="1:16" ht="12">
      <c r="A51" s="117">
        <f t="shared" si="20"/>
        <v>37</v>
      </c>
      <c r="B51" s="121" t="s">
        <v>124</v>
      </c>
      <c r="C51" s="153"/>
      <c r="D51" s="153"/>
      <c r="E51" s="153"/>
      <c r="F51" s="153"/>
      <c r="G51" s="153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8" ht="12">
      <c r="A52" s="117">
        <f t="shared" si="20"/>
        <v>38</v>
      </c>
      <c r="B52" s="137" t="s">
        <v>131</v>
      </c>
      <c r="C52" s="153"/>
      <c r="D52" s="145">
        <f>-'[7]Pg 5 STD Amort'!$D$15</f>
        <v>47576.01</v>
      </c>
      <c r="E52" s="145">
        <f>-'[7]Pg 5 STD Amort'!$D$15</f>
        <v>47576.01</v>
      </c>
      <c r="F52" s="145">
        <f>-'[7]Pg 5 STD Amort'!$D$15</f>
        <v>47576.01</v>
      </c>
      <c r="G52" s="145">
        <f>-'[7]Pg 5 STD Amort'!$D$15</f>
        <v>47576.01</v>
      </c>
      <c r="H52" s="145">
        <f>-'[7]Pg 5 STD Amort'!$D$15</f>
        <v>47576.01</v>
      </c>
      <c r="I52" s="145">
        <f>-'[7]Pg 5 STD Amort'!$D$15</f>
        <v>47576.01</v>
      </c>
      <c r="J52" s="145">
        <f>-'[7]Pg 5 STD Amort'!$D$15</f>
        <v>47576.01</v>
      </c>
      <c r="K52" s="145">
        <f>-'[7]Pg 5 STD Amort'!$D$15</f>
        <v>47576.01</v>
      </c>
      <c r="L52" s="145">
        <f>-'[7]Pg 5 STD Amort'!$D$15</f>
        <v>47576.01</v>
      </c>
      <c r="M52" s="145">
        <f>-'[7]Pg 5 STD Amort'!$D$15</f>
        <v>47576.01</v>
      </c>
      <c r="N52" s="145">
        <f>M52</f>
        <v>47576.01</v>
      </c>
      <c r="O52" s="145">
        <f>N52</f>
        <v>47576.01</v>
      </c>
      <c r="P52" s="124">
        <f>SUM(D52:O52)</f>
        <v>570912.12</v>
      </c>
      <c r="R52" s="263"/>
    </row>
    <row r="53" spans="1:18" ht="12" customHeight="1" thickBot="1">
      <c r="A53" s="117">
        <f t="shared" si="20"/>
        <v>39</v>
      </c>
      <c r="B53" s="141" t="s">
        <v>96</v>
      </c>
      <c r="C53" s="153"/>
      <c r="D53" s="159">
        <f aca="true" t="shared" si="21" ref="D53:O53">SUM(D52:D52)</f>
        <v>47576.01</v>
      </c>
      <c r="E53" s="159">
        <f t="shared" si="21"/>
        <v>47576.01</v>
      </c>
      <c r="F53" s="159">
        <f t="shared" si="21"/>
        <v>47576.01</v>
      </c>
      <c r="G53" s="159">
        <f t="shared" si="21"/>
        <v>47576.01</v>
      </c>
      <c r="H53" s="159">
        <f t="shared" si="21"/>
        <v>47576.01</v>
      </c>
      <c r="I53" s="159">
        <f t="shared" si="21"/>
        <v>47576.01</v>
      </c>
      <c r="J53" s="159">
        <f t="shared" si="21"/>
        <v>47576.01</v>
      </c>
      <c r="K53" s="159">
        <f t="shared" si="21"/>
        <v>47576.01</v>
      </c>
      <c r="L53" s="159">
        <f t="shared" si="21"/>
        <v>47576.01</v>
      </c>
      <c r="M53" s="159">
        <f t="shared" si="21"/>
        <v>47576.01</v>
      </c>
      <c r="N53" s="159">
        <f t="shared" si="21"/>
        <v>47576.01</v>
      </c>
      <c r="O53" s="159">
        <f t="shared" si="21"/>
        <v>47576.01</v>
      </c>
      <c r="P53" s="143">
        <f>SUM(D53:O53)</f>
        <v>570912.12</v>
      </c>
      <c r="R53" s="151"/>
    </row>
    <row r="54" spans="1:18" ht="12" customHeight="1" thickTop="1">
      <c r="A54" s="117">
        <f t="shared" si="20"/>
        <v>40</v>
      </c>
      <c r="B54" s="141"/>
      <c r="C54" s="153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57" t="s">
        <v>106</v>
      </c>
      <c r="P54" s="124">
        <f>'2 - Cost of Total Debt (R)'!$H$42</f>
        <v>11374559291.999998</v>
      </c>
      <c r="R54" s="151"/>
    </row>
    <row r="55" spans="1:18" ht="12" customHeight="1">
      <c r="A55" s="117">
        <f t="shared" si="20"/>
        <v>41</v>
      </c>
      <c r="B55" s="141"/>
      <c r="C55" s="153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57" t="s">
        <v>97</v>
      </c>
      <c r="P55" s="158">
        <f>ROUND(P53/P54,4)</f>
        <v>0.0001</v>
      </c>
      <c r="R55" s="151"/>
    </row>
    <row r="56" spans="1:18" ht="12" customHeight="1">
      <c r="A56" s="117">
        <f>A55+1</f>
        <v>42</v>
      </c>
      <c r="B56" s="128"/>
      <c r="C56" s="268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157"/>
      <c r="P56" s="271"/>
      <c r="R56" s="151"/>
    </row>
    <row r="57" spans="1:18" ht="12" customHeight="1">
      <c r="A57" s="117">
        <f t="shared" si="20"/>
        <v>43</v>
      </c>
      <c r="B57" s="121" t="s">
        <v>136</v>
      </c>
      <c r="C57" s="268">
        <v>5467610</v>
      </c>
      <c r="D57" s="269">
        <v>5467610</v>
      </c>
      <c r="E57" s="269">
        <v>5467610</v>
      </c>
      <c r="F57" s="269">
        <v>5467610</v>
      </c>
      <c r="G57" s="269">
        <v>5467610</v>
      </c>
      <c r="H57" s="269">
        <v>5467610</v>
      </c>
      <c r="I57" s="269">
        <v>5467610</v>
      </c>
      <c r="J57" s="269">
        <v>5467610</v>
      </c>
      <c r="K57" s="269">
        <v>5467610</v>
      </c>
      <c r="L57" s="269">
        <v>5467610</v>
      </c>
      <c r="M57" s="269">
        <v>5467610</v>
      </c>
      <c r="N57" s="269">
        <v>5467610</v>
      </c>
      <c r="O57" s="269">
        <v>5467610</v>
      </c>
      <c r="P57" s="270">
        <f>ROUND(((C57+O57)+(SUM(D57:N57)*2))/24,3)</f>
        <v>5467610</v>
      </c>
      <c r="R57" s="151"/>
    </row>
    <row r="58" spans="1:18" ht="12" customHeight="1" thickBot="1">
      <c r="A58" s="117">
        <f t="shared" si="20"/>
        <v>44</v>
      </c>
      <c r="B58" s="141" t="s">
        <v>137</v>
      </c>
      <c r="C58" s="159">
        <f aca="true" t="shared" si="22" ref="C58:O58">+C13+C57</f>
        <v>5687279.646</v>
      </c>
      <c r="D58" s="159">
        <f t="shared" si="22"/>
        <v>5687279.646</v>
      </c>
      <c r="E58" s="159">
        <f t="shared" si="22"/>
        <v>5687279.646</v>
      </c>
      <c r="F58" s="159">
        <f t="shared" si="22"/>
        <v>5687279.646</v>
      </c>
      <c r="G58" s="159">
        <f t="shared" si="22"/>
        <v>5687279.646</v>
      </c>
      <c r="H58" s="159">
        <f t="shared" si="22"/>
        <v>5687279.646</v>
      </c>
      <c r="I58" s="159">
        <f t="shared" si="22"/>
        <v>5687279.646</v>
      </c>
      <c r="J58" s="159">
        <f t="shared" si="22"/>
        <v>5687279.646</v>
      </c>
      <c r="K58" s="159">
        <f t="shared" si="22"/>
        <v>5687279.646</v>
      </c>
      <c r="L58" s="159">
        <f t="shared" si="22"/>
        <v>5687279.646</v>
      </c>
      <c r="M58" s="159">
        <f t="shared" si="22"/>
        <v>5687279.646</v>
      </c>
      <c r="N58" s="159">
        <f t="shared" si="22"/>
        <v>5687279.646</v>
      </c>
      <c r="O58" s="159">
        <f t="shared" si="22"/>
        <v>5687279.646</v>
      </c>
      <c r="P58" s="274">
        <f>P13+P57</f>
        <v>5687279.646</v>
      </c>
      <c r="R58" s="151"/>
    </row>
    <row r="59" spans="1:18" ht="12" customHeight="1" thickTop="1">
      <c r="A59" s="117">
        <f t="shared" si="20"/>
        <v>45</v>
      </c>
      <c r="B59" s="141"/>
      <c r="C59" s="153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57"/>
      <c r="P59" s="158"/>
      <c r="R59" s="151"/>
    </row>
    <row r="60" spans="1:18" ht="12" customHeight="1">
      <c r="A60" s="117">
        <f t="shared" si="20"/>
        <v>46</v>
      </c>
      <c r="B60" s="137" t="s">
        <v>139</v>
      </c>
      <c r="C60" s="153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57"/>
      <c r="P60" s="273">
        <f>+P13/P58*(1-'1 - Cost of Capital'!D22)</f>
        <v>0.019312365460567686</v>
      </c>
      <c r="R60" s="151"/>
    </row>
    <row r="61" spans="1:18" ht="12" customHeight="1">
      <c r="A61" s="117">
        <f t="shared" si="20"/>
        <v>47</v>
      </c>
      <c r="B61" s="137" t="s">
        <v>140</v>
      </c>
      <c r="C61" s="153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57"/>
      <c r="P61" s="273">
        <f>+P57/P58*(1-'1 - Cost of Capital'!D22)</f>
        <v>0.48068763453943236</v>
      </c>
      <c r="R61" s="151"/>
    </row>
    <row r="62" spans="1:18" ht="12" customHeight="1">
      <c r="A62" s="117">
        <f t="shared" si="20"/>
        <v>48</v>
      </c>
      <c r="B62" s="141" t="s">
        <v>141</v>
      </c>
      <c r="C62" s="153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57"/>
      <c r="P62" s="272">
        <f>SUM(P60:P61)</f>
        <v>0.5</v>
      </c>
      <c r="R62" s="151"/>
    </row>
    <row r="63" spans="1:16" ht="12" customHeight="1">
      <c r="A63" s="117">
        <f t="shared" si="20"/>
        <v>49</v>
      </c>
      <c r="P63" s="40"/>
    </row>
    <row r="64" spans="1:2" ht="12" customHeight="1">
      <c r="A64" s="117">
        <f t="shared" si="20"/>
        <v>50</v>
      </c>
      <c r="B64" s="121" t="s">
        <v>129</v>
      </c>
    </row>
    <row r="65" spans="2:15" ht="12">
      <c r="B65" s="161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</row>
  </sheetData>
  <sheetProtection/>
  <printOptions horizontalCentered="1"/>
  <pageMargins left="0.27" right="0.23" top="0.61" bottom="0.77" header="0.27" footer="0.27"/>
  <pageSetup horizontalDpi="600" verticalDpi="600" orientation="landscape" scale="73" r:id="rId1"/>
  <headerFooter alignWithMargins="0">
    <oddHeader>&amp;C
</oddHeader>
    <oddFooter>&amp;C&amp;A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view="pageLayout" zoomScaleSheetLayoutView="90" workbookViewId="0" topLeftCell="A1">
      <selection activeCell="J41" sqref="J40:J41"/>
    </sheetView>
  </sheetViews>
  <sheetFormatPr defaultColWidth="8.66015625" defaultRowHeight="11.25"/>
  <cols>
    <col min="1" max="1" width="4.66015625" style="15" customWidth="1"/>
    <col min="2" max="2" width="34" style="15" customWidth="1"/>
    <col min="3" max="3" width="10.66015625" style="15" customWidth="1"/>
    <col min="4" max="4" width="11.66015625" style="15" customWidth="1"/>
    <col min="5" max="5" width="16.16015625" style="15" customWidth="1"/>
    <col min="6" max="6" width="15.66015625" style="15" customWidth="1"/>
    <col min="7" max="7" width="13" style="15" customWidth="1"/>
    <col min="8" max="8" width="16.83203125" style="15" customWidth="1"/>
    <col min="9" max="9" width="15.83203125" style="15" customWidth="1"/>
    <col min="10" max="10" width="14.16015625" style="15" customWidth="1"/>
    <col min="11" max="11" width="18.5" style="15" customWidth="1"/>
    <col min="12" max="12" width="6.33203125" style="15" customWidth="1"/>
    <col min="13" max="13" width="10.5" style="15" bestFit="1" customWidth="1"/>
    <col min="14" max="14" width="9.16015625" style="15" bestFit="1" customWidth="1"/>
    <col min="15" max="16384" width="8.66015625" style="15" customWidth="1"/>
  </cols>
  <sheetData>
    <row r="1" spans="2:12" ht="12.75" customHeight="1">
      <c r="B1" s="74" t="s">
        <v>67</v>
      </c>
      <c r="C1" s="75"/>
      <c r="D1" s="75"/>
      <c r="E1" s="75"/>
      <c r="F1" s="75"/>
      <c r="G1" s="74"/>
      <c r="H1" s="75"/>
      <c r="I1" s="75"/>
      <c r="J1" s="74"/>
      <c r="K1" s="75"/>
      <c r="L1" s="163"/>
    </row>
    <row r="2" spans="2:12" ht="12.75" customHeight="1">
      <c r="B2" s="74" t="s">
        <v>16</v>
      </c>
      <c r="C2" s="75"/>
      <c r="D2" s="75"/>
      <c r="E2" s="75"/>
      <c r="F2" s="75"/>
      <c r="G2" s="74"/>
      <c r="H2" s="75"/>
      <c r="I2" s="75"/>
      <c r="J2" s="74"/>
      <c r="K2" s="75"/>
      <c r="L2" s="163"/>
    </row>
    <row r="3" spans="2:12" ht="12.75" customHeight="1">
      <c r="B3" s="74" t="str">
        <f>'2 - Cost of Total Debt (R)'!$B$3</f>
        <v>For The 12 Months Ended December 31, 2025</v>
      </c>
      <c r="C3" s="75"/>
      <c r="D3" s="75"/>
      <c r="E3" s="75"/>
      <c r="F3" s="75"/>
      <c r="G3" s="74"/>
      <c r="H3" s="75"/>
      <c r="I3" s="75"/>
      <c r="J3" s="74"/>
      <c r="K3" s="75"/>
      <c r="L3" s="163"/>
    </row>
    <row r="4" spans="2:12" ht="12.75" customHeight="1">
      <c r="B4" s="164"/>
      <c r="C4" s="164"/>
      <c r="D4" s="164"/>
      <c r="E4" s="165"/>
      <c r="F4" s="165"/>
      <c r="G4" s="165"/>
      <c r="H4" s="165"/>
      <c r="I4" s="165"/>
      <c r="J4" s="165"/>
      <c r="K4" s="165"/>
      <c r="L4" s="163"/>
    </row>
    <row r="5" spans="1:12" ht="12.75" customHeight="1">
      <c r="A5" s="166">
        <v>1</v>
      </c>
      <c r="B5" s="48" t="s">
        <v>1</v>
      </c>
      <c r="C5" s="48" t="s">
        <v>17</v>
      </c>
      <c r="D5" s="48" t="s">
        <v>24</v>
      </c>
      <c r="E5" s="48" t="s">
        <v>26</v>
      </c>
      <c r="F5" s="48" t="s">
        <v>27</v>
      </c>
      <c r="G5" s="167" t="s">
        <v>28</v>
      </c>
      <c r="H5" s="48" t="s">
        <v>29</v>
      </c>
      <c r="I5" s="48" t="s">
        <v>30</v>
      </c>
      <c r="J5" s="48" t="s">
        <v>31</v>
      </c>
      <c r="K5" s="48" t="s">
        <v>33</v>
      </c>
      <c r="L5" s="163"/>
    </row>
    <row r="6" spans="1:12" ht="23.25" customHeight="1">
      <c r="A6" s="166">
        <f aca="true" t="shared" si="0" ref="A6:A27">A5+1</f>
        <v>2</v>
      </c>
      <c r="B6" s="168" t="s">
        <v>0</v>
      </c>
      <c r="C6" s="169" t="s">
        <v>9</v>
      </c>
      <c r="D6" s="170" t="s">
        <v>44</v>
      </c>
      <c r="E6" s="171" t="s">
        <v>50</v>
      </c>
      <c r="F6" s="171" t="s">
        <v>51</v>
      </c>
      <c r="G6" s="171" t="s">
        <v>51</v>
      </c>
      <c r="H6" s="171" t="s">
        <v>32</v>
      </c>
      <c r="I6" s="170" t="s">
        <v>62</v>
      </c>
      <c r="J6" s="171" t="s">
        <v>63</v>
      </c>
      <c r="K6" s="170" t="s">
        <v>10</v>
      </c>
      <c r="L6" s="163"/>
    </row>
    <row r="7" spans="1:12" ht="12.75" customHeight="1">
      <c r="A7" s="166">
        <f t="shared" si="0"/>
        <v>3</v>
      </c>
      <c r="B7" s="172" t="s">
        <v>9</v>
      </c>
      <c r="C7" s="173" t="s">
        <v>45</v>
      </c>
      <c r="D7" s="173" t="s">
        <v>45</v>
      </c>
      <c r="E7" s="173" t="s">
        <v>45</v>
      </c>
      <c r="F7" s="173" t="s">
        <v>9</v>
      </c>
      <c r="G7" s="173" t="s">
        <v>45</v>
      </c>
      <c r="H7" s="173" t="s">
        <v>52</v>
      </c>
      <c r="I7" s="174" t="s">
        <v>49</v>
      </c>
      <c r="J7" s="173" t="s">
        <v>64</v>
      </c>
      <c r="K7" s="173" t="s">
        <v>49</v>
      </c>
      <c r="L7" s="163"/>
    </row>
    <row r="8" ht="12.75" customHeight="1">
      <c r="A8" s="166">
        <f t="shared" si="0"/>
        <v>4</v>
      </c>
    </row>
    <row r="9" spans="1:13" ht="12.75" customHeight="1">
      <c r="A9" s="166">
        <f t="shared" si="0"/>
        <v>5</v>
      </c>
      <c r="B9" s="246" t="s">
        <v>46</v>
      </c>
      <c r="C9" s="247">
        <v>35587</v>
      </c>
      <c r="D9" s="247">
        <v>46539</v>
      </c>
      <c r="E9" s="247">
        <v>38504</v>
      </c>
      <c r="F9" s="247"/>
      <c r="G9" s="247"/>
      <c r="H9" s="248">
        <v>46539</v>
      </c>
      <c r="I9" s="251">
        <v>19150.35</v>
      </c>
      <c r="J9" s="177">
        <v>12</v>
      </c>
      <c r="K9" s="176">
        <f>ROUND(I9*J9,2)</f>
        <v>229804.2</v>
      </c>
      <c r="M9" s="176"/>
    </row>
    <row r="10" spans="1:13" ht="12.75" customHeight="1">
      <c r="A10" s="166">
        <f t="shared" si="0"/>
        <v>6</v>
      </c>
      <c r="B10" s="249" t="s">
        <v>20</v>
      </c>
      <c r="C10" s="247">
        <v>33457</v>
      </c>
      <c r="D10" s="247">
        <f>DATE(2021,8,1)</f>
        <v>44409</v>
      </c>
      <c r="E10" s="250">
        <v>37691</v>
      </c>
      <c r="F10" s="250" t="s">
        <v>47</v>
      </c>
      <c r="G10" s="250">
        <v>37691</v>
      </c>
      <c r="H10" s="248">
        <v>47908</v>
      </c>
      <c r="I10" s="251">
        <v>3790.04</v>
      </c>
      <c r="J10" s="177">
        <v>12</v>
      </c>
      <c r="K10" s="176">
        <f>ROUND(I10*J10,2)</f>
        <v>45480.48</v>
      </c>
      <c r="M10" s="176"/>
    </row>
    <row r="11" spans="1:13" ht="12.75" customHeight="1">
      <c r="A11" s="166">
        <f t="shared" si="0"/>
        <v>7</v>
      </c>
      <c r="B11" s="249" t="s">
        <v>21</v>
      </c>
      <c r="C11" s="247">
        <v>33457</v>
      </c>
      <c r="D11" s="247">
        <f>DATE(2021,8,1)</f>
        <v>44409</v>
      </c>
      <c r="E11" s="250">
        <v>37691</v>
      </c>
      <c r="F11" s="250" t="s">
        <v>47</v>
      </c>
      <c r="G11" s="250">
        <v>37691</v>
      </c>
      <c r="H11" s="248">
        <v>47908</v>
      </c>
      <c r="I11" s="251">
        <v>2880.12</v>
      </c>
      <c r="J11" s="177">
        <v>12</v>
      </c>
      <c r="K11" s="176">
        <f>ROUND(I11*J11,2)</f>
        <v>34561.44</v>
      </c>
      <c r="M11" s="176"/>
    </row>
    <row r="12" spans="1:13" ht="12.75" customHeight="1">
      <c r="A12" s="166">
        <f t="shared" si="0"/>
        <v>8</v>
      </c>
      <c r="B12" s="249" t="s">
        <v>22</v>
      </c>
      <c r="C12" s="247">
        <v>33664</v>
      </c>
      <c r="D12" s="247">
        <f>DATE(2022,3,1)</f>
        <v>44621</v>
      </c>
      <c r="E12" s="250">
        <v>37691</v>
      </c>
      <c r="F12" s="250" t="s">
        <v>47</v>
      </c>
      <c r="G12" s="250">
        <v>37691</v>
      </c>
      <c r="H12" s="248">
        <v>47908</v>
      </c>
      <c r="I12" s="251">
        <v>8818.79</v>
      </c>
      <c r="J12" s="177">
        <v>12</v>
      </c>
      <c r="K12" s="176">
        <f>ROUND(I12*J12,2)</f>
        <v>105825.48</v>
      </c>
      <c r="M12" s="176"/>
    </row>
    <row r="13" spans="1:13" ht="12.75" customHeight="1">
      <c r="A13" s="166">
        <f t="shared" si="0"/>
        <v>9</v>
      </c>
      <c r="B13" s="249" t="s">
        <v>23</v>
      </c>
      <c r="C13" s="247">
        <v>33664</v>
      </c>
      <c r="D13" s="247">
        <f>DATE(2022,3,1)</f>
        <v>44621</v>
      </c>
      <c r="E13" s="250">
        <v>37691</v>
      </c>
      <c r="F13" s="250" t="s">
        <v>47</v>
      </c>
      <c r="G13" s="250">
        <v>37691</v>
      </c>
      <c r="H13" s="248">
        <v>47908</v>
      </c>
      <c r="I13" s="251">
        <v>2691.48</v>
      </c>
      <c r="J13" s="177">
        <v>12</v>
      </c>
      <c r="K13" s="176">
        <f aca="true" t="shared" si="1" ref="K13:K21">ROUND(I13*J13,2)</f>
        <v>32297.76</v>
      </c>
      <c r="M13" s="176"/>
    </row>
    <row r="14" spans="1:13" ht="12.75" customHeight="1">
      <c r="A14" s="166">
        <f t="shared" si="0"/>
        <v>10</v>
      </c>
      <c r="B14" s="249" t="s">
        <v>56</v>
      </c>
      <c r="C14" s="247">
        <v>37691</v>
      </c>
      <c r="D14" s="247">
        <v>47908</v>
      </c>
      <c r="E14" s="250">
        <v>41449</v>
      </c>
      <c r="F14" s="250" t="s">
        <v>57</v>
      </c>
      <c r="G14" s="250">
        <v>41417</v>
      </c>
      <c r="H14" s="248">
        <v>47908</v>
      </c>
      <c r="I14" s="251">
        <v>24927.39</v>
      </c>
      <c r="J14" s="177">
        <v>12</v>
      </c>
      <c r="K14" s="176">
        <f t="shared" si="1"/>
        <v>299128.68</v>
      </c>
      <c r="M14" s="176"/>
    </row>
    <row r="15" spans="1:13" ht="12.75" customHeight="1">
      <c r="A15" s="166">
        <f t="shared" si="0"/>
        <v>11</v>
      </c>
      <c r="B15" s="249" t="s">
        <v>56</v>
      </c>
      <c r="C15" s="247">
        <v>37691</v>
      </c>
      <c r="D15" s="247">
        <v>47908</v>
      </c>
      <c r="E15" s="250">
        <v>41449</v>
      </c>
      <c r="F15" s="250" t="s">
        <v>57</v>
      </c>
      <c r="G15" s="250">
        <v>41417</v>
      </c>
      <c r="H15" s="248">
        <v>47908</v>
      </c>
      <c r="I15" s="251">
        <v>4212.77</v>
      </c>
      <c r="J15" s="177">
        <v>12</v>
      </c>
      <c r="K15" s="176">
        <f t="shared" si="1"/>
        <v>50553.24</v>
      </c>
      <c r="M15" s="176"/>
    </row>
    <row r="16" spans="1:11" ht="12.75" customHeight="1">
      <c r="A16" s="166">
        <f t="shared" si="0"/>
        <v>12</v>
      </c>
      <c r="B16" s="246" t="s">
        <v>42</v>
      </c>
      <c r="C16" s="247">
        <v>38183</v>
      </c>
      <c r="D16" s="247">
        <v>38913</v>
      </c>
      <c r="E16" s="247">
        <v>38499</v>
      </c>
      <c r="F16" s="247" t="s">
        <v>43</v>
      </c>
      <c r="G16" s="247">
        <v>38499</v>
      </c>
      <c r="H16" s="248">
        <v>49456</v>
      </c>
      <c r="I16" s="251">
        <v>1423.88</v>
      </c>
      <c r="J16" s="177">
        <v>12</v>
      </c>
      <c r="K16" s="176">
        <f t="shared" si="1"/>
        <v>17086.56</v>
      </c>
    </row>
    <row r="17" spans="1:11" ht="12.75" customHeight="1">
      <c r="A17" s="166">
        <f t="shared" si="0"/>
        <v>13</v>
      </c>
      <c r="B17" s="246" t="s">
        <v>18</v>
      </c>
      <c r="C17" s="247">
        <v>37035</v>
      </c>
      <c r="D17" s="247">
        <v>51682</v>
      </c>
      <c r="E17" s="247">
        <v>38898</v>
      </c>
      <c r="F17" s="247" t="s">
        <v>48</v>
      </c>
      <c r="G17" s="247">
        <v>38898</v>
      </c>
      <c r="H17" s="248">
        <v>49841</v>
      </c>
      <c r="I17" s="251">
        <v>16418.45</v>
      </c>
      <c r="J17" s="177">
        <v>12</v>
      </c>
      <c r="K17" s="176">
        <f t="shared" si="1"/>
        <v>197021.4</v>
      </c>
    </row>
    <row r="18" spans="1:11" ht="15" customHeight="1">
      <c r="A18" s="166">
        <f t="shared" si="0"/>
        <v>14</v>
      </c>
      <c r="B18" s="246" t="s">
        <v>54</v>
      </c>
      <c r="C18" s="247">
        <v>33117</v>
      </c>
      <c r="D18" s="247">
        <v>44075</v>
      </c>
      <c r="E18" s="247">
        <v>40900</v>
      </c>
      <c r="F18" s="247" t="s">
        <v>55</v>
      </c>
      <c r="G18" s="247">
        <v>40869</v>
      </c>
      <c r="H18" s="248">
        <v>55472</v>
      </c>
      <c r="I18" s="251">
        <v>33376.57</v>
      </c>
      <c r="J18" s="177">
        <v>12</v>
      </c>
      <c r="K18" s="176">
        <f t="shared" si="1"/>
        <v>400518.84</v>
      </c>
    </row>
    <row r="19" spans="1:11" ht="15" customHeight="1">
      <c r="A19" s="166">
        <f t="shared" si="0"/>
        <v>15</v>
      </c>
      <c r="B19" s="246" t="s">
        <v>58</v>
      </c>
      <c r="C19" s="247">
        <v>38637</v>
      </c>
      <c r="D19" s="247">
        <v>42278</v>
      </c>
      <c r="E19" s="247">
        <v>42160</v>
      </c>
      <c r="F19" s="247" t="s">
        <v>60</v>
      </c>
      <c r="G19" s="247">
        <v>42150</v>
      </c>
      <c r="H19" s="248">
        <v>53102</v>
      </c>
      <c r="I19" s="251">
        <v>6858.54</v>
      </c>
      <c r="J19" s="177">
        <v>12</v>
      </c>
      <c r="K19" s="176">
        <f t="shared" si="1"/>
        <v>82302.48</v>
      </c>
    </row>
    <row r="20" spans="1:11" ht="15" customHeight="1">
      <c r="A20" s="166">
        <f t="shared" si="0"/>
        <v>16</v>
      </c>
      <c r="B20" s="246" t="s">
        <v>59</v>
      </c>
      <c r="C20" s="247">
        <v>39836</v>
      </c>
      <c r="D20" s="247">
        <v>42384</v>
      </c>
      <c r="E20" s="247">
        <v>42160</v>
      </c>
      <c r="F20" s="247" t="s">
        <v>60</v>
      </c>
      <c r="G20" s="247">
        <v>42150</v>
      </c>
      <c r="H20" s="248">
        <v>53102</v>
      </c>
      <c r="I20" s="251">
        <v>26387.48</v>
      </c>
      <c r="J20" s="177">
        <v>12</v>
      </c>
      <c r="K20" s="176">
        <f t="shared" si="1"/>
        <v>316649.76</v>
      </c>
    </row>
    <row r="21" spans="1:11" ht="15" customHeight="1">
      <c r="A21" s="166">
        <f t="shared" si="0"/>
        <v>17</v>
      </c>
      <c r="B21" s="246" t="s">
        <v>130</v>
      </c>
      <c r="C21" s="247">
        <v>39237</v>
      </c>
      <c r="D21" s="247">
        <v>24624</v>
      </c>
      <c r="E21" s="247">
        <v>43217</v>
      </c>
      <c r="F21" s="247"/>
      <c r="G21" s="247"/>
      <c r="H21" s="248">
        <v>61149</v>
      </c>
      <c r="I21" s="251">
        <v>8387.72</v>
      </c>
      <c r="J21" s="177">
        <v>12</v>
      </c>
      <c r="K21" s="176">
        <f t="shared" si="1"/>
        <v>100652.64</v>
      </c>
    </row>
    <row r="22" spans="1:11" ht="15" customHeight="1" thickBot="1">
      <c r="A22" s="166">
        <f t="shared" si="0"/>
        <v>18</v>
      </c>
      <c r="B22" s="178"/>
      <c r="C22" s="30"/>
      <c r="D22" s="30"/>
      <c r="E22" s="30"/>
      <c r="F22" s="30"/>
      <c r="G22" s="30"/>
      <c r="H22" s="30"/>
      <c r="I22" s="260"/>
      <c r="J22" s="30"/>
      <c r="K22" s="179">
        <f>SUM(K9:K21)</f>
        <v>1911882.96</v>
      </c>
    </row>
    <row r="23" spans="1:11" ht="15" customHeight="1" thickTop="1">
      <c r="A23" s="166">
        <f t="shared" si="0"/>
        <v>19</v>
      </c>
      <c r="B23" s="178" t="s">
        <v>106</v>
      </c>
      <c r="C23" s="30"/>
      <c r="D23" s="30"/>
      <c r="E23" s="30"/>
      <c r="F23" s="30"/>
      <c r="G23" s="30"/>
      <c r="H23" s="30"/>
      <c r="I23" s="261"/>
      <c r="J23" s="30"/>
      <c r="K23" s="180">
        <f>'2 - Cost of Total Debt (R)'!H42</f>
        <v>11374559291.999998</v>
      </c>
    </row>
    <row r="24" spans="1:11" ht="12.75" customHeight="1">
      <c r="A24" s="166">
        <f t="shared" si="0"/>
        <v>20</v>
      </c>
      <c r="B24" s="178"/>
      <c r="C24" s="31"/>
      <c r="D24" s="31"/>
      <c r="E24" s="31"/>
      <c r="F24" s="31"/>
      <c r="G24" s="31"/>
      <c r="H24" s="31"/>
      <c r="I24" s="31"/>
      <c r="J24" s="31"/>
      <c r="K24" s="175"/>
    </row>
    <row r="25" spans="1:11" ht="12.75" customHeight="1">
      <c r="A25" s="166">
        <f t="shared" si="0"/>
        <v>21</v>
      </c>
      <c r="B25" s="178" t="s">
        <v>65</v>
      </c>
      <c r="C25" s="163"/>
      <c r="D25" s="163"/>
      <c r="E25" s="163"/>
      <c r="F25" s="163"/>
      <c r="G25" s="163"/>
      <c r="H25" s="181"/>
      <c r="I25" s="181"/>
      <c r="J25" s="181"/>
      <c r="K25" s="182">
        <f>ROUND(K22/K23,4)</f>
        <v>0.0002</v>
      </c>
    </row>
    <row r="26" spans="1:11" ht="12.75" customHeight="1">
      <c r="A26" s="166">
        <f t="shared" si="0"/>
        <v>22</v>
      </c>
      <c r="B26" s="183"/>
      <c r="C26" s="34"/>
      <c r="D26" s="34"/>
      <c r="E26" s="34"/>
      <c r="F26" s="34"/>
      <c r="H26" s="16"/>
      <c r="I26" s="16"/>
      <c r="J26" s="16"/>
      <c r="K26" s="175"/>
    </row>
    <row r="27" spans="1:11" ht="12.75" customHeight="1">
      <c r="A27" s="166">
        <f t="shared" si="0"/>
        <v>23</v>
      </c>
      <c r="B27" s="163" t="s">
        <v>66</v>
      </c>
      <c r="H27" s="16"/>
      <c r="I27" s="16"/>
      <c r="J27" s="16"/>
      <c r="K27" s="175"/>
    </row>
    <row r="28" spans="1:11" ht="12.75" customHeight="1">
      <c r="A28" s="166"/>
      <c r="B28" s="184"/>
      <c r="H28" s="16"/>
      <c r="I28" s="16"/>
      <c r="J28" s="16"/>
      <c r="K28" s="16"/>
    </row>
    <row r="29" spans="1:11" ht="12.75" customHeight="1">
      <c r="A29" s="35"/>
      <c r="H29" s="16"/>
      <c r="I29" s="16"/>
      <c r="J29" s="16"/>
      <c r="K29" s="16"/>
    </row>
    <row r="30" spans="8:11" ht="12.75" customHeight="1">
      <c r="H30" s="16"/>
      <c r="I30" s="16"/>
      <c r="J30" s="16"/>
      <c r="K30" s="16"/>
    </row>
    <row r="31" spans="8:11" ht="12.75" customHeight="1">
      <c r="H31" s="16"/>
      <c r="I31" s="16"/>
      <c r="J31" s="16"/>
      <c r="K31" s="33"/>
    </row>
    <row r="32" spans="8:11" ht="12.75" customHeight="1">
      <c r="H32" s="16"/>
      <c r="I32" s="16"/>
      <c r="J32" s="16"/>
      <c r="K32" s="16"/>
    </row>
    <row r="33" spans="8:11" ht="12.75" customHeight="1">
      <c r="H33" s="16"/>
      <c r="I33" s="16"/>
      <c r="J33" s="16"/>
      <c r="K33" s="16"/>
    </row>
    <row r="34" spans="8:11" ht="12.75" customHeight="1">
      <c r="H34" s="16"/>
      <c r="I34" s="16"/>
      <c r="J34" s="16"/>
      <c r="K34" s="16"/>
    </row>
    <row r="35" spans="8:11" ht="12.75" customHeight="1">
      <c r="H35" s="16"/>
      <c r="I35" s="16"/>
      <c r="J35" s="16"/>
      <c r="K35" s="16"/>
    </row>
    <row r="36" spans="8:11" ht="12.75" customHeight="1">
      <c r="H36" s="16"/>
      <c r="I36" s="16"/>
      <c r="J36" s="16"/>
      <c r="K36" s="16"/>
    </row>
    <row r="37" spans="8:11" ht="12.75" customHeight="1">
      <c r="H37" s="16"/>
      <c r="I37" s="16"/>
      <c r="J37" s="16"/>
      <c r="K37" s="16"/>
    </row>
    <row r="38" spans="8:11" ht="12.75" customHeight="1">
      <c r="H38" s="16"/>
      <c r="I38" s="16"/>
      <c r="J38" s="16"/>
      <c r="K38" s="16"/>
    </row>
    <row r="39" spans="8:11" ht="12.75" customHeight="1">
      <c r="H39" s="16"/>
      <c r="I39" s="16"/>
      <c r="J39" s="16"/>
      <c r="K39" s="16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Dessalegn, Freh</dc:creator>
  <cp:keywords/>
  <dc:description/>
  <cp:lastModifiedBy>Starkey, Byron (SEA)</cp:lastModifiedBy>
  <cp:lastPrinted>2022-01-24T20:45:11Z</cp:lastPrinted>
  <dcterms:created xsi:type="dcterms:W3CDTF">2016-12-21T02:43:36Z</dcterms:created>
  <dcterms:modified xsi:type="dcterms:W3CDTF">2022-03-29T20:46:18Z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DocumentSetType">
    <vt:lpwstr>Exhibit - Proposed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Puget Sound Energy</vt:lpwstr>
  </property>
  <property fmtid="{D5CDD505-2E9C-101B-9397-08002B2CF9AE}" pid="7" name="IsConfidential">
    <vt:lpwstr>0</vt:lpwstr>
  </property>
  <property fmtid="{D5CDD505-2E9C-101B-9397-08002B2CF9AE}" pid="8" name="IsEFSEC">
    <vt:lpwstr>0</vt:lpwstr>
  </property>
  <property fmtid="{D5CDD505-2E9C-101B-9397-08002B2CF9AE}" pid="9" name="DocketNumber">
    <vt:lpwstr>220066</vt:lpwstr>
  </property>
  <property fmtid="{D5CDD505-2E9C-101B-9397-08002B2CF9AE}" pid="10" name="Date1">
    <vt:lpwstr>2022-03-29T00:00:00Z</vt:lpwstr>
  </property>
  <property fmtid="{D5CDD505-2E9C-101B-9397-08002B2CF9AE}" pid="11" name="Nickname">
    <vt:lpwstr/>
  </property>
  <property fmtid="{D5CDD505-2E9C-101B-9397-08002B2CF9AE}" pid="12" name="CaseType">
    <vt:lpwstr>Tariff Revision</vt:lpwstr>
  </property>
  <property fmtid="{D5CDD505-2E9C-101B-9397-08002B2CF9AE}" pid="13" name="OpenedDate">
    <vt:lpwstr>2022-01-31T00:00:00Z</vt:lpwstr>
  </property>
  <property fmtid="{D5CDD505-2E9C-101B-9397-08002B2CF9AE}" pid="14" name="Prefix">
    <vt:lpwstr>UE</vt:lpwstr>
  </property>
  <property fmtid="{D5CDD505-2E9C-101B-9397-08002B2CF9AE}" pid="15" name="IndustryCode">
    <vt:lpwstr>140</vt:lpwstr>
  </property>
  <property fmtid="{D5CDD505-2E9C-101B-9397-08002B2CF9AE}" pid="16" name="CaseStatus">
    <vt:lpwstr>Formal</vt:lpwstr>
  </property>
  <property fmtid="{D5CDD505-2E9C-101B-9397-08002B2CF9AE}" pid="17" name="_docset_NoMedatataSyncRequired">
    <vt:lpwstr>False</vt:lpwstr>
  </property>
</Properties>
</file>