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80" activeTab="2"/>
  </bookViews>
  <sheets>
    <sheet name="Redacted Version" sheetId="1" r:id="rId1"/>
    <sheet name="1 - Cost of Capital" sheetId="2" r:id="rId2"/>
    <sheet name="2 - Cost of Total Debt (R)" sheetId="3" r:id="rId3"/>
    <sheet name="3- STD Int &amp; Fees-Details " sheetId="4" r:id="rId4"/>
    <sheet name="4 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'1 - Cost of Capital'!$A$1:$F$42</definedName>
    <definedName name="_xlnm.Print_Area" localSheetId="2">'2 - Cost of Total Debt (R)'!$A$1:$J$47</definedName>
    <definedName name="_xlnm.Print_Area" localSheetId="3">'3- STD Int &amp; Fees-Details '!$A$1:$P$63</definedName>
    <definedName name="_xlnm.Print_Area" localSheetId="4">'4 Reacquired Debt'!$A$1:$K$30</definedName>
    <definedName name="_xlnm.Print_Titles" localSheetId="4">'4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<sst xmlns="http://schemas.openxmlformats.org/spreadsheetml/2006/main" count="245" uniqueCount="158">
  <si>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</si>
  <si>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</si>
  <si>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</si>
  <si>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</si>
  <si>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</si>
  <si>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</si>
  <si>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</si>
  <si>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</si>
  <si>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</si>
  <si>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</si>
  <si>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</si>
  <si>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</si>
  <si>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</si>
  <si>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</si>
  <si>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</si>
  <si>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</si>
  <si>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</si>
  <si>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</si>
  <si>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</si>
  <si>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</si>
  <si>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</si>
  <si>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</si>
  <si>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</si>
  <si>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</si>
  <si>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</si>
  <si>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</si>
  <si>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</si>
  <si>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</si>
  <si>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</si>
  <si>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</si>
  <si>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</si>
  <si>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</si>
  <si>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</si>
  <si>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</si>
  <si>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</si>
  <si>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</si>
  <si>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</si>
  <si>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</si>
  <si>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</si>
  <si>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</si>
  <si>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</si>
  <si>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</si>
  <si>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</si>
  <si>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</si>
  <si>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</si>
  <si>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</si>
  <si>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</si>
  <si>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</si>
  <si>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</si>
  <si>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</si>
  <si>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</si>
  <si>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</si>
  <si>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</si>
  <si>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</si>
  <si>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</si>
  <si>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</si>
  <si>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</si>
  <si>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</si>
  <si>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</si>
  <si>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</si>
  <si>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</si>
  <si>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</si>
  <si>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</si>
  <si>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</si>
  <si>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</si>
  <si>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</si>
  <si>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</si>
  <si>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</si>
  <si>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</si>
  <si>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</si>
  <si>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</si>
  <si>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</si>
  <si>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</si>
  <si>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</si>
  <si>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</si>
  <si>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</si>
  <si>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</si>
  <si>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</si>
  <si>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</si>
  <si>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</si>
  <si>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</si>
  <si>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</si>
  <si>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</si>
  <si>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</si>
  <si>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</si>
  <si>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</si>
  <si>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</si>
  <si>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</si>
  <si>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</si>
  <si>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</si>
  <si>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</si>
  <si>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</si>
  <si>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</si>
  <si>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</si>
  <si>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</si>
  <si>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</si>
  <si>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</si>
  <si>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</si>
  <si>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</si>
  <si>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</si>
  <si>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</si>
  <si>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</si>
  <si>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</si>
  <si>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</si>
  <si>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</si>
  <si>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</si>
  <si>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</si>
  <si>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</si>
  <si>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</si>
  <si>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</si>
  <si>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</si>
  <si>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</si>
  <si>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</si>
  <si>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</si>
  <si>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</si>
  <si>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</si>
  <si>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</si>
  <si>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</si>
  <si>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</si>
  <si>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</si>
  <si>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</si>
  <si>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</si>
  <si>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</si>
  <si>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</si>
  <si>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</si>
  <si>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</si>
  <si>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</si>
  <si>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</si>
  <si>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</si>
  <si>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</si>
  <si>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</si>
  <si>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</si>
  <si>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</si>
  <si>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</si>
  <si>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</si>
  <si>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For The 12 Months Ended December 31, 2024</t>
  </si>
  <si>
    <t>Requested For Rate Year January 2024 through December 2024</t>
  </si>
  <si>
    <t>LTD Average Balance (in 000's)</t>
  </si>
  <si>
    <t>Total STD and LTD</t>
  </si>
  <si>
    <t>Total Long-term Debt Cost of Interest on AMA basis</t>
  </si>
  <si>
    <t>Short Term Debt Average Balance (in 000's)</t>
  </si>
  <si>
    <t>Projected LIBOR Rates (1 mo)</t>
  </si>
  <si>
    <t>Average</t>
  </si>
  <si>
    <t>Short Term Debt Allocation</t>
  </si>
  <si>
    <t>Long Term Debt Allocation</t>
  </si>
  <si>
    <t>Debt Allocation of the Total Capitalization</t>
  </si>
  <si>
    <t>Total First Mortgage Bonds and Senior Notes at the end of the year</t>
  </si>
  <si>
    <t xml:space="preserve">Shaded information is designated as confidential per WAC 480-07-160
</t>
  </si>
  <si>
    <t>This file contains confidential information</t>
  </si>
  <si>
    <t>Shaded information is designated as confidential per WAC 480-07-160</t>
  </si>
  <si>
    <t>REDACTED VERSION</t>
  </si>
  <si>
    <t/>
  </si>
  <si>
    <t>xxx</t>
  </si>
  <si>
    <t>xxxxxxxxx</t>
  </si>
  <si>
    <t>xxxxxxx</t>
  </si>
  <si>
    <t>xxxx</t>
  </si>
  <si>
    <t>xxxxxxxxxx</t>
  </si>
  <si>
    <t>Revised figures in red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</si>
</sst>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_(* #,##0.00000_);_(* \(#,##0.0000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64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18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20"/>
      <color indexed="8"/>
      <name val="Calibri"/>
      <family val="2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20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7">
    <xf numFmtId="37" fontId="0" fillId="0" borderId="0" xfId="0" applyAlignment="1">
      <alignment/>
    </xf>
    <xf numFmtId="10" fontId="3" fillId="0" borderId="0" xfId="111" applyFont="1">
      <alignment/>
      <protection/>
    </xf>
    <xf numFmtId="10" fontId="3" fillId="0" borderId="0" xfId="111" applyFont="1" applyAlignment="1">
      <alignment horizontal="centerContinuous"/>
      <protection/>
    </xf>
    <xf numFmtId="1" fontId="3" fillId="0" borderId="0" xfId="111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1" applyNumberFormat="1" applyFont="1" applyProtection="1">
      <alignment/>
      <protection/>
    </xf>
    <xf numFmtId="165" fontId="3" fillId="0" borderId="0" xfId="111" applyNumberFormat="1" applyFont="1" applyProtection="1">
      <alignment/>
      <protection/>
    </xf>
    <xf numFmtId="10" fontId="3" fillId="0" borderId="0" xfId="111" applyNumberFormat="1" applyFont="1" applyProtection="1">
      <alignment/>
      <protection/>
    </xf>
    <xf numFmtId="37" fontId="3" fillId="0" borderId="0" xfId="109" applyFont="1">
      <alignment/>
      <protection/>
    </xf>
    <xf numFmtId="37" fontId="3" fillId="0" borderId="0" xfId="109" applyFont="1" applyAlignment="1" applyProtection="1">
      <alignment horizontal="center"/>
      <protection/>
    </xf>
    <xf numFmtId="37" fontId="5" fillId="0" borderId="0" xfId="109" applyFont="1" applyAlignment="1">
      <alignment horizontal="center"/>
      <protection/>
    </xf>
    <xf numFmtId="5" fontId="3" fillId="0" borderId="0" xfId="109" applyNumberFormat="1" applyFont="1">
      <alignment/>
      <protection/>
    </xf>
    <xf numFmtId="37" fontId="6" fillId="0" borderId="0" xfId="109" applyFont="1">
      <alignment/>
      <protection/>
    </xf>
    <xf numFmtId="37" fontId="6" fillId="0" borderId="0" xfId="109" applyFont="1" applyFill="1">
      <alignment/>
      <protection/>
    </xf>
    <xf numFmtId="15" fontId="3" fillId="0" borderId="0" xfId="109" applyNumberFormat="1" applyFont="1" applyProtection="1">
      <alignment/>
      <protection/>
    </xf>
    <xf numFmtId="0" fontId="3" fillId="0" borderId="0" xfId="112" applyFont="1" applyAlignment="1" applyProtection="1">
      <alignment horizontal="left"/>
      <protection/>
    </xf>
    <xf numFmtId="0" fontId="4" fillId="0" borderId="0" xfId="112" applyFont="1">
      <alignment/>
      <protection/>
    </xf>
    <xf numFmtId="5" fontId="4" fillId="0" borderId="0" xfId="112" applyNumberFormat="1" applyFont="1" applyProtection="1">
      <alignment/>
      <protection/>
    </xf>
    <xf numFmtId="37" fontId="7" fillId="0" borderId="0" xfId="109" applyFont="1" applyFill="1" applyAlignment="1">
      <alignment horizontal="center"/>
      <protection/>
    </xf>
    <xf numFmtId="5" fontId="6" fillId="0" borderId="0" xfId="109" applyNumberFormat="1" applyFont="1" applyFill="1">
      <alignment/>
      <protection/>
    </xf>
    <xf numFmtId="37" fontId="6" fillId="0" borderId="0" xfId="109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9" applyFont="1" applyFill="1" applyAlignment="1" applyProtection="1">
      <alignment horizontal="center"/>
      <protection/>
    </xf>
    <xf numFmtId="10" fontId="6" fillId="0" borderId="0" xfId="109" applyNumberFormat="1" applyFont="1" applyFill="1" applyProtection="1">
      <alignment/>
      <protection/>
    </xf>
    <xf numFmtId="168" fontId="6" fillId="0" borderId="0" xfId="109" applyNumberFormat="1" applyFont="1" applyFill="1" applyAlignment="1" applyProtection="1">
      <alignment horizontal="fill"/>
      <protection/>
    </xf>
    <xf numFmtId="166" fontId="3" fillId="0" borderId="0" xfId="109" applyNumberFormat="1" applyFont="1" applyFill="1">
      <alignment/>
      <protection/>
    </xf>
    <xf numFmtId="15" fontId="11" fillId="0" borderId="0" xfId="112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9" applyFont="1">
      <alignment/>
      <protection/>
    </xf>
    <xf numFmtId="0" fontId="15" fillId="0" borderId="0" xfId="112" applyFont="1">
      <alignment/>
      <protection/>
    </xf>
    <xf numFmtId="0" fontId="4" fillId="0" borderId="0" xfId="112" applyFont="1" applyFill="1">
      <alignment/>
      <protection/>
    </xf>
    <xf numFmtId="0" fontId="4" fillId="0" borderId="0" xfId="112" applyFont="1" applyAlignment="1">
      <alignment horizontal="center"/>
      <protection/>
    </xf>
    <xf numFmtId="37" fontId="3" fillId="0" borderId="0" xfId="111" applyNumberFormat="1" applyFont="1">
      <alignment/>
      <protection/>
    </xf>
    <xf numFmtId="5" fontId="12" fillId="0" borderId="0" xfId="109" applyNumberFormat="1" applyFont="1" applyFill="1">
      <alignment/>
      <protection/>
    </xf>
    <xf numFmtId="5" fontId="3" fillId="0" borderId="0" xfId="109" applyNumberFormat="1" applyFont="1" applyFill="1">
      <alignment/>
      <protection/>
    </xf>
    <xf numFmtId="37" fontId="3" fillId="0" borderId="0" xfId="109" applyFont="1" applyFill="1">
      <alignment/>
      <protection/>
    </xf>
    <xf numFmtId="5" fontId="32" fillId="0" borderId="0" xfId="107" applyNumberFormat="1" applyFont="1" applyFill="1" applyBorder="1" applyAlignment="1" applyProtection="1">
      <alignment horizontal="left"/>
      <protection/>
    </xf>
    <xf numFmtId="170" fontId="3" fillId="0" borderId="0" xfId="111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7" applyNumberFormat="1" applyFont="1" applyAlignment="1">
      <alignment/>
    </xf>
    <xf numFmtId="0" fontId="33" fillId="0" borderId="0" xfId="107" applyFont="1" applyBorder="1" applyAlignment="1" applyProtection="1">
      <alignment horizontal="centerContinuous" vertical="center" wrapText="1"/>
      <protection/>
    </xf>
    <xf numFmtId="10" fontId="5" fillId="0" borderId="0" xfId="111" applyFont="1" applyAlignment="1">
      <alignment horizontal="centerContinuous"/>
      <protection/>
    </xf>
    <xf numFmtId="172" fontId="5" fillId="0" borderId="0" xfId="111" applyNumberFormat="1" applyFont="1" applyBorder="1" applyAlignment="1" applyProtection="1">
      <alignment horizontal="centerContinuous" vertical="center" wrapText="1"/>
      <protection/>
    </xf>
    <xf numFmtId="1" fontId="12" fillId="0" borderId="0" xfId="111" applyNumberFormat="1" applyFont="1" applyAlignment="1" applyProtection="1">
      <alignment horizontal="center"/>
      <protection/>
    </xf>
    <xf numFmtId="37" fontId="34" fillId="0" borderId="0" xfId="108" applyFont="1" applyAlignment="1" applyProtection="1">
      <alignment horizontal="center"/>
      <protection/>
    </xf>
    <xf numFmtId="10" fontId="5" fillId="0" borderId="0" xfId="111" applyFont="1" applyFill="1" applyBorder="1" applyAlignment="1" applyProtection="1">
      <alignment horizontal="center" wrapText="1"/>
      <protection/>
    </xf>
    <xf numFmtId="10" fontId="5" fillId="0" borderId="0" xfId="111" applyFont="1" applyAlignment="1">
      <alignment horizontal="center"/>
      <protection/>
    </xf>
    <xf numFmtId="10" fontId="5" fillId="0" borderId="0" xfId="111" applyFont="1" applyAlignment="1" applyProtection="1">
      <alignment horizontal="center"/>
      <protection/>
    </xf>
    <xf numFmtId="10" fontId="35" fillId="0" borderId="0" xfId="111" applyFont="1" applyAlignment="1" applyProtection="1">
      <alignment horizontal="left"/>
      <protection/>
    </xf>
    <xf numFmtId="10" fontId="35" fillId="0" borderId="0" xfId="111" applyFont="1" applyAlignment="1" applyProtection="1">
      <alignment horizontal="center"/>
      <protection/>
    </xf>
    <xf numFmtId="10" fontId="3" fillId="0" borderId="0" xfId="111" applyFont="1" applyAlignment="1" applyProtection="1">
      <alignment horizontal="left"/>
      <protection/>
    </xf>
    <xf numFmtId="10" fontId="3" fillId="0" borderId="0" xfId="111" applyFont="1" applyAlignment="1" applyProtection="1">
      <alignment horizontal="left" indent="2"/>
      <protection/>
    </xf>
    <xf numFmtId="10" fontId="3" fillId="0" borderId="0" xfId="111" applyNumberFormat="1" applyFont="1" applyAlignment="1" applyProtection="1">
      <alignment/>
      <protection/>
    </xf>
    <xf numFmtId="10" fontId="3" fillId="0" borderId="0" xfId="111" applyFont="1" applyAlignment="1">
      <alignment horizontal="left" indent="2"/>
      <protection/>
    </xf>
    <xf numFmtId="10" fontId="3" fillId="0" borderId="10" xfId="111" applyFont="1" applyBorder="1" applyAlignment="1">
      <alignment horizontal="left" indent="2"/>
      <protection/>
    </xf>
    <xf numFmtId="37" fontId="34" fillId="0" borderId="10" xfId="108" applyFont="1" applyBorder="1" applyAlignment="1" applyProtection="1">
      <alignment horizontal="center"/>
      <protection/>
    </xf>
    <xf numFmtId="10" fontId="5" fillId="0" borderId="0" xfId="111" applyFont="1" applyAlignment="1" applyProtection="1">
      <alignment horizontal="left" indent="1"/>
      <protection/>
    </xf>
    <xf numFmtId="10" fontId="5" fillId="0" borderId="0" xfId="111" applyNumberFormat="1" applyFont="1" applyAlignment="1" applyProtection="1">
      <alignment/>
      <protection/>
    </xf>
    <xf numFmtId="5" fontId="3" fillId="0" borderId="0" xfId="111" applyNumberFormat="1" applyFont="1" applyAlignment="1" applyProtection="1">
      <alignment/>
      <protection/>
    </xf>
    <xf numFmtId="10" fontId="3" fillId="0" borderId="0" xfId="111" applyNumberFormat="1" applyFont="1" applyBorder="1">
      <alignment/>
      <protection/>
    </xf>
    <xf numFmtId="10" fontId="3" fillId="0" borderId="0" xfId="111" applyFont="1" applyBorder="1" applyAlignment="1">
      <alignment horizontal="right"/>
      <protection/>
    </xf>
    <xf numFmtId="10" fontId="3" fillId="0" borderId="0" xfId="111" applyFont="1" applyBorder="1" applyAlignment="1">
      <alignment horizontal="center"/>
      <protection/>
    </xf>
    <xf numFmtId="10" fontId="3" fillId="0" borderId="0" xfId="111" applyNumberFormat="1" applyFont="1" applyBorder="1" applyAlignment="1">
      <alignment horizontal="right"/>
      <protection/>
    </xf>
    <xf numFmtId="10" fontId="10" fillId="0" borderId="0" xfId="111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1" applyNumberFormat="1" applyFont="1">
      <alignment/>
      <protection/>
    </xf>
    <xf numFmtId="37" fontId="11" fillId="0" borderId="0" xfId="109" applyNumberFormat="1" applyFont="1" applyAlignment="1" applyProtection="1">
      <alignment horizontal="centerContinuous"/>
      <protection/>
    </xf>
    <xf numFmtId="0" fontId="5" fillId="0" borderId="0" xfId="112" applyFont="1" applyFill="1" applyBorder="1" applyAlignment="1" applyProtection="1" quotePrefix="1">
      <alignment horizontal="centerContinuous" vertical="center" wrapText="1"/>
      <protection/>
    </xf>
    <xf numFmtId="0" fontId="11" fillId="0" borderId="0" xfId="112" applyFont="1" applyFill="1" applyBorder="1" applyAlignment="1" applyProtection="1" quotePrefix="1">
      <alignment horizontal="centerContinuous" vertical="center" wrapText="1"/>
      <protection/>
    </xf>
    <xf numFmtId="181" fontId="11" fillId="0" borderId="0" xfId="109" applyNumberFormat="1" applyFont="1" applyFill="1" applyAlignment="1" applyProtection="1" quotePrefix="1">
      <alignment horizontal="centerContinuous"/>
      <protection/>
    </xf>
    <xf numFmtId="181" fontId="11" fillId="0" borderId="0" xfId="109" applyNumberFormat="1" applyFont="1" applyFill="1" applyAlignment="1" applyProtection="1">
      <alignment horizontal="centerContinuous"/>
      <protection/>
    </xf>
    <xf numFmtId="3" fontId="12" fillId="0" borderId="0" xfId="110" applyFont="1" applyAlignment="1">
      <alignment horizontal="center"/>
      <protection/>
    </xf>
    <xf numFmtId="37" fontId="40" fillId="0" borderId="0" xfId="108" applyFont="1" applyAlignment="1" applyProtection="1">
      <alignment horizontal="center"/>
      <protection/>
    </xf>
    <xf numFmtId="3" fontId="3" fillId="0" borderId="0" xfId="110" applyFont="1" applyAlignment="1">
      <alignment horizontal="center"/>
      <protection/>
    </xf>
    <xf numFmtId="168" fontId="34" fillId="0" borderId="0" xfId="110" applyNumberFormat="1" applyFont="1" applyAlignment="1" applyProtection="1">
      <alignment horizontal="center"/>
      <protection/>
    </xf>
    <xf numFmtId="3" fontId="34" fillId="0" borderId="0" xfId="110" applyFont="1" applyAlignment="1">
      <alignment horizontal="center"/>
      <protection/>
    </xf>
    <xf numFmtId="3" fontId="34" fillId="0" borderId="10" xfId="110" applyFont="1" applyBorder="1" applyAlignment="1" applyProtection="1">
      <alignment horizontal="center"/>
      <protection/>
    </xf>
    <xf numFmtId="3" fontId="34" fillId="0" borderId="10" xfId="110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7" applyNumberFormat="1" applyFont="1" applyFill="1" applyProtection="1">
      <alignment/>
      <protection/>
    </xf>
    <xf numFmtId="175" fontId="12" fillId="0" borderId="0" xfId="107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7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7" applyNumberFormat="1" applyFont="1" applyFill="1" applyProtection="1">
      <alignment/>
      <protection/>
    </xf>
    <xf numFmtId="17" fontId="12" fillId="0" borderId="0" xfId="109" applyNumberFormat="1" applyFont="1" applyAlignment="1" applyProtection="1">
      <alignment horizontal="left"/>
      <protection/>
    </xf>
    <xf numFmtId="37" fontId="34" fillId="0" borderId="0" xfId="109" applyNumberFormat="1" applyFont="1" applyAlignment="1" applyProtection="1">
      <alignment horizontal="left"/>
      <protection/>
    </xf>
    <xf numFmtId="10" fontId="34" fillId="0" borderId="0" xfId="117" applyNumberFormat="1" applyFont="1" applyFill="1" applyAlignment="1">
      <alignment/>
    </xf>
    <xf numFmtId="192" fontId="42" fillId="0" borderId="11" xfId="107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10" applyFont="1">
      <alignment/>
      <protection/>
    </xf>
    <xf numFmtId="10" fontId="12" fillId="0" borderId="0" xfId="117" applyNumberFormat="1" applyFont="1" applyFill="1" applyAlignment="1">
      <alignment/>
    </xf>
    <xf numFmtId="37" fontId="34" fillId="0" borderId="0" xfId="106" applyNumberFormat="1" applyFont="1" applyFill="1" applyBorder="1">
      <alignment/>
      <protection/>
    </xf>
    <xf numFmtId="10" fontId="34" fillId="0" borderId="11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9" applyNumberFormat="1" applyFont="1" applyFill="1" applyBorder="1" applyProtection="1">
      <alignment/>
      <protection/>
    </xf>
    <xf numFmtId="187" fontId="44" fillId="0" borderId="0" xfId="107" applyNumberFormat="1" applyFont="1" applyFill="1" applyBorder="1" applyProtection="1">
      <alignment/>
      <protection/>
    </xf>
    <xf numFmtId="192" fontId="42" fillId="0" borderId="0" xfId="107" applyNumberFormat="1" applyFont="1" applyBorder="1" applyProtection="1">
      <alignment/>
      <protection/>
    </xf>
    <xf numFmtId="3" fontId="34" fillId="0" borderId="0" xfId="110" applyFont="1" quotePrefix="1">
      <alignment/>
      <protection/>
    </xf>
    <xf numFmtId="37" fontId="34" fillId="0" borderId="0" xfId="109" applyNumberFormat="1" applyFont="1">
      <alignment/>
      <protection/>
    </xf>
    <xf numFmtId="37" fontId="12" fillId="0" borderId="0" xfId="109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7" applyNumberFormat="1" applyFont="1" applyFill="1" applyProtection="1">
      <alignment/>
      <protection/>
    </xf>
    <xf numFmtId="37" fontId="12" fillId="0" borderId="0" xfId="106" applyFont="1" applyFill="1">
      <alignment/>
      <protection/>
    </xf>
    <xf numFmtId="37" fontId="10" fillId="0" borderId="0" xfId="106" applyFont="1" applyFill="1">
      <alignment/>
      <protection/>
    </xf>
    <xf numFmtId="37" fontId="7" fillId="0" borderId="0" xfId="106" applyFont="1" applyFill="1">
      <alignment/>
      <protection/>
    </xf>
    <xf numFmtId="37" fontId="12" fillId="0" borderId="0" xfId="108" applyFont="1" applyFill="1" applyAlignment="1" applyProtection="1">
      <alignment horizontal="center"/>
      <protection/>
    </xf>
    <xf numFmtId="37" fontId="34" fillId="0" borderId="0" xfId="108" applyFont="1" applyFill="1" applyAlignment="1" applyProtection="1">
      <alignment horizontal="center"/>
      <protection/>
    </xf>
    <xf numFmtId="17" fontId="41" fillId="0" borderId="0" xfId="106" applyNumberFormat="1" applyFont="1" applyFill="1" applyBorder="1" applyAlignment="1">
      <alignment horizontal="center"/>
      <protection/>
    </xf>
    <xf numFmtId="37" fontId="41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>
      <alignment/>
      <protection/>
    </xf>
    <xf numFmtId="5" fontId="12" fillId="0" borderId="0" xfId="107" applyNumberFormat="1" applyFont="1" applyFill="1" applyBorder="1" applyProtection="1">
      <alignment/>
      <protection/>
    </xf>
    <xf numFmtId="5" fontId="43" fillId="0" borderId="0" xfId="107" applyNumberFormat="1" applyFont="1" applyFill="1" applyBorder="1" applyProtection="1">
      <alignment/>
      <protection/>
    </xf>
    <xf numFmtId="5" fontId="42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1"/>
      <protection/>
    </xf>
    <xf numFmtId="5" fontId="43" fillId="0" borderId="12" xfId="107" applyNumberFormat="1" applyFont="1" applyFill="1" applyBorder="1" applyProtection="1">
      <alignment/>
      <protection/>
    </xf>
    <xf numFmtId="5" fontId="42" fillId="0" borderId="12" xfId="107" applyNumberFormat="1" applyFont="1" applyFill="1" applyBorder="1" applyProtection="1">
      <alignment/>
      <protection/>
    </xf>
    <xf numFmtId="37" fontId="10" fillId="0" borderId="0" xfId="106" applyFont="1" applyFill="1" applyBorder="1">
      <alignment/>
      <protection/>
    </xf>
    <xf numFmtId="37" fontId="34" fillId="0" borderId="0" xfId="106" applyFont="1" applyFill="1" applyBorder="1" applyAlignment="1">
      <alignment horizontal="centerContinuous" vertical="center" wrapText="1"/>
      <protection/>
    </xf>
    <xf numFmtId="37" fontId="11" fillId="0" borderId="0" xfId="106" applyFont="1" applyFill="1" applyBorder="1" applyAlignment="1">
      <alignment horizontal="centerContinuous" vertical="center" wrapText="1"/>
      <protection/>
    </xf>
    <xf numFmtId="165" fontId="43" fillId="0" borderId="0" xfId="118" applyNumberFormat="1" applyFont="1" applyFill="1" applyBorder="1" applyAlignment="1" applyProtection="1">
      <alignment/>
      <protection/>
    </xf>
    <xf numFmtId="10" fontId="56" fillId="0" borderId="0" xfId="106" applyNumberFormat="1" applyFont="1" applyFill="1">
      <alignment/>
      <protection/>
    </xf>
    <xf numFmtId="168" fontId="12" fillId="0" borderId="0" xfId="106" applyNumberFormat="1" applyFont="1" applyFill="1">
      <alignment/>
      <protection/>
    </xf>
    <xf numFmtId="37" fontId="12" fillId="0" borderId="0" xfId="106" applyFont="1" applyFill="1" applyBorder="1" applyAlignment="1">
      <alignment horizontal="left"/>
      <protection/>
    </xf>
    <xf numFmtId="10" fontId="43" fillId="0" borderId="13" xfId="107" applyNumberFormat="1" applyFont="1" applyFill="1" applyBorder="1" applyProtection="1">
      <alignment/>
      <protection/>
    </xf>
    <xf numFmtId="37" fontId="45" fillId="0" borderId="0" xfId="106" applyFont="1" applyFill="1" applyBorder="1" applyAlignment="1">
      <alignment horizontal="center"/>
      <protection/>
    </xf>
    <xf numFmtId="37" fontId="46" fillId="0" borderId="0" xfId="106" applyFont="1" applyFill="1" applyBorder="1" applyAlignment="1">
      <alignment horizontal="center" wrapText="1"/>
      <protection/>
    </xf>
    <xf numFmtId="37" fontId="34" fillId="0" borderId="0" xfId="106" applyFont="1" applyFill="1" applyBorder="1" applyAlignment="1">
      <alignment horizontal="left" indent="1"/>
      <protection/>
    </xf>
    <xf numFmtId="37" fontId="12" fillId="0" borderId="11" xfId="106" applyFont="1" applyFill="1" applyBorder="1">
      <alignment/>
      <protection/>
    </xf>
    <xf numFmtId="5" fontId="42" fillId="0" borderId="11" xfId="107" applyNumberFormat="1" applyFont="1" applyFill="1" applyBorder="1" applyProtection="1">
      <alignment/>
      <protection/>
    </xf>
    <xf numFmtId="10" fontId="12" fillId="0" borderId="0" xfId="106" applyNumberFormat="1" applyFont="1" applyFill="1">
      <alignment/>
      <protection/>
    </xf>
    <xf numFmtId="5" fontId="56" fillId="0" borderId="0" xfId="107" applyNumberFormat="1" applyFont="1" applyFill="1" applyBorder="1" applyProtection="1">
      <alignment/>
      <protection/>
    </xf>
    <xf numFmtId="37" fontId="12" fillId="0" borderId="0" xfId="106" applyFont="1" applyFill="1" applyBorder="1" applyAlignment="1">
      <alignment horizontal="left" indent="2"/>
      <protection/>
    </xf>
    <xf numFmtId="5" fontId="43" fillId="0" borderId="13" xfId="107" applyNumberFormat="1" applyFont="1" applyFill="1" applyBorder="1" applyProtection="1">
      <alignment/>
      <protection/>
    </xf>
    <xf numFmtId="37" fontId="41" fillId="0" borderId="0" xfId="106" applyFont="1" applyFill="1" applyBorder="1" applyAlignment="1">
      <alignment horizontal="center"/>
      <protection/>
    </xf>
    <xf numFmtId="168" fontId="12" fillId="0" borderId="0" xfId="118" applyNumberFormat="1" applyFont="1" applyFill="1" applyAlignment="1">
      <alignment/>
    </xf>
    <xf numFmtId="5" fontId="43" fillId="0" borderId="11" xfId="107" applyNumberFormat="1" applyFont="1" applyFill="1" applyBorder="1" applyProtection="1">
      <alignment/>
      <protection/>
    </xf>
    <xf numFmtId="10" fontId="12" fillId="0" borderId="0" xfId="118" applyNumberFormat="1" applyFont="1" applyFill="1" applyAlignment="1">
      <alignment/>
    </xf>
    <xf numFmtId="195" fontId="12" fillId="0" borderId="0" xfId="106" applyNumberFormat="1" applyFont="1" applyFill="1" applyBorder="1" applyAlignment="1">
      <alignment horizontal="left"/>
      <protection/>
    </xf>
    <xf numFmtId="10" fontId="12" fillId="0" borderId="0" xfId="106" applyNumberFormat="1" applyFont="1" applyFill="1" applyBorder="1">
      <alignment/>
      <protection/>
    </xf>
    <xf numFmtId="168" fontId="47" fillId="0" borderId="0" xfId="118" applyNumberFormat="1" applyFont="1" applyFill="1" applyAlignment="1">
      <alignment horizontal="center"/>
    </xf>
    <xf numFmtId="10" fontId="47" fillId="0" borderId="0" xfId="118" applyNumberFormat="1" applyFont="1" applyFill="1" applyAlignment="1">
      <alignment horizontal="center"/>
    </xf>
    <xf numFmtId="199" fontId="43" fillId="0" borderId="0" xfId="107" applyNumberFormat="1" applyFont="1" applyFill="1" applyBorder="1" applyProtection="1">
      <alignment/>
      <protection/>
    </xf>
    <xf numFmtId="37" fontId="10" fillId="0" borderId="0" xfId="106" applyFont="1" applyFill="1" applyAlignment="1">
      <alignment horizontal="right"/>
      <protection/>
    </xf>
    <xf numFmtId="10" fontId="42" fillId="0" borderId="0" xfId="118" applyNumberFormat="1" applyFont="1" applyFill="1" applyBorder="1" applyAlignment="1" applyProtection="1">
      <alignment/>
      <protection/>
    </xf>
    <xf numFmtId="5" fontId="12" fillId="0" borderId="11" xfId="106" applyNumberFormat="1" applyFont="1" applyFill="1" applyBorder="1">
      <alignment/>
      <protection/>
    </xf>
    <xf numFmtId="5" fontId="12" fillId="0" borderId="0" xfId="106" applyNumberFormat="1" applyFont="1" applyFill="1" applyBorder="1">
      <alignment/>
      <protection/>
    </xf>
    <xf numFmtId="37" fontId="48" fillId="0" borderId="0" xfId="106" applyFont="1" applyFill="1">
      <alignment/>
      <protection/>
    </xf>
    <xf numFmtId="171" fontId="10" fillId="0" borderId="0" xfId="106" applyNumberFormat="1" applyFont="1" applyFill="1">
      <alignment/>
      <protection/>
    </xf>
    <xf numFmtId="0" fontId="10" fillId="0" borderId="0" xfId="112" applyFont="1">
      <alignment/>
      <protection/>
    </xf>
    <xf numFmtId="172" fontId="11" fillId="0" borderId="0" xfId="112" applyNumberFormat="1" applyFont="1" applyFill="1" applyAlignment="1">
      <alignment horizontal="left"/>
      <protection/>
    </xf>
    <xf numFmtId="0" fontId="49" fillId="0" borderId="0" xfId="112" applyFont="1" applyFill="1" applyAlignment="1" applyProtection="1" quotePrefix="1">
      <alignment horizontal="center"/>
      <protection/>
    </xf>
    <xf numFmtId="1" fontId="10" fillId="0" borderId="0" xfId="112" applyNumberFormat="1" applyFont="1" applyFill="1" applyAlignment="1" applyProtection="1">
      <alignment horizontal="center"/>
      <protection/>
    </xf>
    <xf numFmtId="37" fontId="34" fillId="0" borderId="0" xfId="108" applyFont="1" applyAlignment="1" applyProtection="1" quotePrefix="1">
      <alignment horizontal="center"/>
      <protection/>
    </xf>
    <xf numFmtId="0" fontId="11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 applyProtection="1">
      <alignment horizontal="center"/>
      <protection/>
    </xf>
    <xf numFmtId="0" fontId="34" fillId="0" borderId="0" xfId="112" applyFont="1" applyFill="1" applyAlignment="1">
      <alignment horizontal="center"/>
      <protection/>
    </xf>
    <xf numFmtId="0" fontId="34" fillId="0" borderId="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left"/>
      <protection/>
    </xf>
    <xf numFmtId="0" fontId="34" fillId="0" borderId="10" xfId="112" applyFont="1" applyFill="1" applyBorder="1" applyAlignment="1" applyProtection="1">
      <alignment horizontal="center" wrapText="1"/>
      <protection/>
    </xf>
    <xf numFmtId="0" fontId="34" fillId="0" borderId="10" xfId="112" applyFont="1" applyFill="1" applyBorder="1" applyAlignment="1" applyProtection="1">
      <alignment horizontal="center"/>
      <protection/>
    </xf>
    <xf numFmtId="7" fontId="10" fillId="0" borderId="0" xfId="112" applyNumberFormat="1" applyFont="1" applyFill="1">
      <alignment/>
      <protection/>
    </xf>
    <xf numFmtId="5" fontId="10" fillId="0" borderId="0" xfId="112" applyNumberFormat="1" applyFont="1" applyFill="1">
      <alignment/>
      <protection/>
    </xf>
    <xf numFmtId="0" fontId="10" fillId="0" borderId="0" xfId="112" applyNumberFormat="1" applyFont="1" applyFill="1" applyAlignment="1">
      <alignment horizontal="center"/>
      <protection/>
    </xf>
    <xf numFmtId="0" fontId="11" fillId="0" borderId="0" xfId="112" applyFont="1" applyFill="1" applyBorder="1" applyAlignment="1" applyProtection="1" quotePrefix="1">
      <alignment horizontal="left"/>
      <protection/>
    </xf>
    <xf numFmtId="5" fontId="11" fillId="0" borderId="11" xfId="112" applyNumberFormat="1" applyFont="1" applyFill="1" applyBorder="1" applyAlignment="1" applyProtection="1">
      <alignment horizontal="right"/>
      <protection/>
    </xf>
    <xf numFmtId="5" fontId="11" fillId="0" borderId="0" xfId="111" applyNumberFormat="1" applyFont="1" applyBorder="1" applyAlignment="1" applyProtection="1">
      <alignment/>
      <protection/>
    </xf>
    <xf numFmtId="5" fontId="10" fillId="0" borderId="0" xfId="112" applyNumberFormat="1" applyFont="1" applyProtection="1">
      <alignment/>
      <protection/>
    </xf>
    <xf numFmtId="10" fontId="10" fillId="0" borderId="0" xfId="117" applyNumberFormat="1" applyFont="1" applyFill="1" applyAlignment="1">
      <alignment/>
    </xf>
    <xf numFmtId="0" fontId="11" fillId="0" borderId="0" xfId="112" applyFont="1" applyFill="1" applyAlignment="1" applyProtection="1">
      <alignment horizontal="left"/>
      <protection/>
    </xf>
    <xf numFmtId="0" fontId="11" fillId="0" borderId="0" xfId="112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9" applyFont="1" applyAlignment="1">
      <alignment horizontal="center"/>
      <protection/>
    </xf>
    <xf numFmtId="175" fontId="50" fillId="0" borderId="0" xfId="107" applyNumberFormat="1" applyFont="1" applyFill="1" applyProtection="1">
      <alignment/>
      <protection/>
    </xf>
    <xf numFmtId="10" fontId="3" fillId="0" borderId="0" xfId="111" applyFont="1" applyFill="1">
      <alignment/>
      <protection/>
    </xf>
    <xf numFmtId="10" fontId="5" fillId="0" borderId="0" xfId="111" applyFont="1" applyFill="1" applyAlignment="1">
      <alignment horizontal="center"/>
      <protection/>
    </xf>
    <xf numFmtId="10" fontId="38" fillId="0" borderId="0" xfId="111" applyFont="1" applyFill="1" applyAlignment="1" applyProtection="1">
      <alignment horizontal="right"/>
      <protection/>
    </xf>
    <xf numFmtId="10" fontId="5" fillId="0" borderId="0" xfId="111" applyFont="1" applyFill="1" applyAlignment="1" applyProtection="1">
      <alignment horizontal="center"/>
      <protection/>
    </xf>
    <xf numFmtId="10" fontId="35" fillId="0" borderId="0" xfId="111" applyFont="1" applyFill="1" applyAlignment="1" applyProtection="1">
      <alignment horizontal="left"/>
      <protection/>
    </xf>
    <xf numFmtId="10" fontId="35" fillId="0" borderId="0" xfId="111" applyFont="1" applyFill="1" applyAlignment="1" applyProtection="1">
      <alignment horizontal="right"/>
      <protection/>
    </xf>
    <xf numFmtId="10" fontId="35" fillId="0" borderId="0" xfId="111" applyFont="1" applyFill="1" applyAlignment="1" applyProtection="1">
      <alignment horizontal="center"/>
      <protection/>
    </xf>
    <xf numFmtId="10" fontId="3" fillId="0" borderId="0" xfId="111" applyFont="1" applyFill="1" applyAlignment="1" applyProtection="1">
      <alignment horizontal="left"/>
      <protection/>
    </xf>
    <xf numFmtId="10" fontId="3" fillId="0" borderId="0" xfId="111" applyNumberFormat="1" applyFont="1" applyFill="1" applyAlignment="1" applyProtection="1">
      <alignment horizontal="left"/>
      <protection/>
    </xf>
    <xf numFmtId="10" fontId="3" fillId="0" borderId="0" xfId="111" applyNumberFormat="1" applyFont="1" applyFill="1" applyBorder="1" applyAlignment="1" applyProtection="1">
      <alignment horizontal="left"/>
      <protection/>
    </xf>
    <xf numFmtId="10" fontId="3" fillId="0" borderId="0" xfId="111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1" applyNumberFormat="1" applyFont="1" applyFill="1" applyAlignment="1" applyProtection="1">
      <alignment horizontal="right"/>
      <protection/>
    </xf>
    <xf numFmtId="10" fontId="3" fillId="0" borderId="0" xfId="111" applyFont="1" applyFill="1" applyAlignment="1" applyProtection="1">
      <alignment horizontal="right"/>
      <protection/>
    </xf>
    <xf numFmtId="10" fontId="3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Font="1" applyFill="1" applyAlignment="1">
      <alignment horizontal="left" indent="2"/>
      <protection/>
    </xf>
    <xf numFmtId="5" fontId="3" fillId="0" borderId="0" xfId="111" applyNumberFormat="1" applyFont="1" applyFill="1" applyBorder="1" applyAlignment="1" applyProtection="1">
      <alignment horizontal="right"/>
      <protection/>
    </xf>
    <xf numFmtId="165" fontId="3" fillId="0" borderId="0" xfId="111" applyNumberFormat="1" applyFont="1" applyFill="1" applyBorder="1" applyAlignment="1">
      <alignment horizontal="right"/>
      <protection/>
    </xf>
    <xf numFmtId="10" fontId="3" fillId="0" borderId="0" xfId="111" applyFont="1" applyFill="1" applyBorder="1" applyAlignment="1">
      <alignment horizontal="right"/>
      <protection/>
    </xf>
    <xf numFmtId="10" fontId="3" fillId="0" borderId="0" xfId="111" applyNumberFormat="1" applyFont="1" applyFill="1" applyAlignment="1">
      <alignment horizontal="right"/>
      <protection/>
    </xf>
    <xf numFmtId="10" fontId="3" fillId="0" borderId="10" xfId="111" applyFont="1" applyFill="1" applyBorder="1" applyAlignment="1">
      <alignment horizontal="left" indent="2"/>
      <protection/>
    </xf>
    <xf numFmtId="5" fontId="3" fillId="0" borderId="10" xfId="111" applyNumberFormat="1" applyFont="1" applyFill="1" applyBorder="1" applyAlignment="1" applyProtection="1">
      <alignment horizontal="right"/>
      <protection/>
    </xf>
    <xf numFmtId="165" fontId="3" fillId="0" borderId="10" xfId="111" applyNumberFormat="1" applyFont="1" applyFill="1" applyBorder="1" applyAlignment="1">
      <alignment horizontal="right"/>
      <protection/>
    </xf>
    <xf numFmtId="10" fontId="3" fillId="0" borderId="10" xfId="111" applyFont="1" applyFill="1" applyBorder="1" applyAlignment="1">
      <alignment horizontal="right"/>
      <protection/>
    </xf>
    <xf numFmtId="10" fontId="3" fillId="0" borderId="10" xfId="111" applyNumberFormat="1" applyFont="1" applyFill="1" applyBorder="1" applyAlignment="1">
      <alignment horizontal="right"/>
      <protection/>
    </xf>
    <xf numFmtId="10" fontId="5" fillId="0" borderId="0" xfId="111" applyFont="1" applyFill="1" applyAlignment="1" applyProtection="1">
      <alignment horizontal="left" indent="1"/>
      <protection/>
    </xf>
    <xf numFmtId="10" fontId="5" fillId="0" borderId="0" xfId="111" applyNumberFormat="1" applyFont="1" applyFill="1" applyAlignment="1">
      <alignment horizontal="right"/>
      <protection/>
    </xf>
    <xf numFmtId="10" fontId="5" fillId="0" borderId="13" xfId="111" applyFont="1" applyFill="1" applyBorder="1" applyAlignment="1" applyProtection="1">
      <alignment horizontal="left" indent="1"/>
      <protection/>
    </xf>
    <xf numFmtId="5" fontId="3" fillId="0" borderId="13" xfId="111" applyNumberFormat="1" applyFont="1" applyFill="1" applyBorder="1" applyAlignment="1" applyProtection="1">
      <alignment horizontal="right"/>
      <protection/>
    </xf>
    <xf numFmtId="165" fontId="3" fillId="0" borderId="13" xfId="111" applyNumberFormat="1" applyFont="1" applyFill="1" applyBorder="1" applyAlignment="1" applyProtection="1">
      <alignment horizontal="right"/>
      <protection/>
    </xf>
    <xf numFmtId="10" fontId="3" fillId="0" borderId="13" xfId="111" applyFont="1" applyFill="1" applyBorder="1" applyAlignment="1" applyProtection="1">
      <alignment horizontal="right"/>
      <protection/>
    </xf>
    <xf numFmtId="10" fontId="5" fillId="0" borderId="13" xfId="111" applyNumberFormat="1" applyFont="1" applyFill="1" applyBorder="1" applyAlignment="1" applyProtection="1">
      <alignment horizontal="right"/>
      <protection/>
    </xf>
    <xf numFmtId="10" fontId="5" fillId="0" borderId="0" xfId="111" applyFont="1" applyFill="1" applyAlignment="1" applyProtection="1">
      <alignment horizontal="left"/>
      <protection/>
    </xf>
    <xf numFmtId="5" fontId="5" fillId="0" borderId="0" xfId="111" applyNumberFormat="1" applyFont="1" applyFill="1" applyBorder="1" applyAlignment="1" applyProtection="1">
      <alignment horizontal="right"/>
      <protection/>
    </xf>
    <xf numFmtId="165" fontId="5" fillId="0" borderId="0" xfId="111" applyNumberFormat="1" applyFont="1" applyFill="1" applyAlignment="1" applyProtection="1">
      <alignment horizontal="right"/>
      <protection/>
    </xf>
    <xf numFmtId="10" fontId="5" fillId="0" borderId="0" xfId="111" applyNumberFormat="1" applyFont="1" applyFill="1" applyBorder="1" applyAlignment="1" applyProtection="1">
      <alignment horizontal="right"/>
      <protection/>
    </xf>
    <xf numFmtId="5" fontId="35" fillId="0" borderId="0" xfId="111" applyNumberFormat="1" applyFont="1" applyFill="1" applyBorder="1" applyAlignment="1" applyProtection="1">
      <alignment horizontal="right"/>
      <protection/>
    </xf>
    <xf numFmtId="165" fontId="35" fillId="0" borderId="0" xfId="111" applyNumberFormat="1" applyFont="1" applyFill="1" applyAlignment="1" applyProtection="1">
      <alignment horizontal="right"/>
      <protection/>
    </xf>
    <xf numFmtId="10" fontId="35" fillId="0" borderId="0" xfId="111" applyNumberFormat="1" applyFont="1" applyFill="1" applyAlignment="1" applyProtection="1">
      <alignment horizontal="right"/>
      <protection/>
    </xf>
    <xf numFmtId="5" fontId="37" fillId="0" borderId="0" xfId="111" applyNumberFormat="1" applyFont="1" applyFill="1" applyBorder="1" applyAlignment="1" applyProtection="1">
      <alignment horizontal="right"/>
      <protection/>
    </xf>
    <xf numFmtId="165" fontId="37" fillId="0" borderId="0" xfId="111" applyNumberFormat="1" applyFont="1" applyFill="1" applyBorder="1" applyAlignment="1" applyProtection="1">
      <alignment horizontal="right"/>
      <protection/>
    </xf>
    <xf numFmtId="10" fontId="39" fillId="0" borderId="0" xfId="111" applyFont="1" applyFill="1" applyBorder="1" applyAlignment="1">
      <alignment horizontal="right"/>
      <protection/>
    </xf>
    <xf numFmtId="10" fontId="37" fillId="0" borderId="0" xfId="111" applyNumberFormat="1" applyFont="1" applyFill="1" applyBorder="1" applyAlignment="1" applyProtection="1">
      <alignment horizontal="right"/>
      <protection/>
    </xf>
    <xf numFmtId="10" fontId="3" fillId="0" borderId="0" xfId="111" applyNumberFormat="1" applyFont="1" applyFill="1" applyAlignment="1" applyProtection="1">
      <alignment/>
      <protection/>
    </xf>
    <xf numFmtId="10" fontId="3" fillId="0" borderId="10" xfId="111" applyNumberFormat="1" applyFont="1" applyFill="1" applyBorder="1" applyAlignment="1" applyProtection="1">
      <alignment/>
      <protection/>
    </xf>
    <xf numFmtId="192" fontId="43" fillId="0" borderId="0" xfId="107" applyNumberFormat="1" applyFont="1" applyFill="1" applyBorder="1" applyProtection="1">
      <alignment/>
      <protection/>
    </xf>
    <xf numFmtId="165" fontId="41" fillId="0" borderId="0" xfId="111" applyNumberFormat="1" applyFont="1" applyFill="1" applyAlignment="1" applyProtection="1">
      <alignment/>
      <protection/>
    </xf>
    <xf numFmtId="192" fontId="42" fillId="0" borderId="0" xfId="107" applyNumberFormat="1" applyFont="1" applyFill="1" applyBorder="1" applyProtection="1">
      <alignment/>
      <protection/>
    </xf>
    <xf numFmtId="168" fontId="56" fillId="0" borderId="0" xfId="118" applyNumberFormat="1" applyFont="1" applyFill="1" applyAlignment="1">
      <alignment horizontal="center"/>
    </xf>
    <xf numFmtId="10" fontId="56" fillId="0" borderId="0" xfId="118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1" applyNumberFormat="1" applyFont="1">
      <alignment/>
      <protection/>
    </xf>
    <xf numFmtId="3" fontId="12" fillId="0" borderId="0" xfId="110" applyFont="1" applyFill="1" applyAlignment="1">
      <alignment horizontal="center"/>
      <protection/>
    </xf>
    <xf numFmtId="37" fontId="12" fillId="0" borderId="0" xfId="109" applyFont="1" applyFill="1">
      <alignment/>
      <protection/>
    </xf>
    <xf numFmtId="37" fontId="12" fillId="0" borderId="0" xfId="109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2" applyNumberFormat="1" applyFont="1" applyFill="1" applyAlignment="1">
      <alignment horizontal="left"/>
      <protection/>
    </xf>
    <xf numFmtId="15" fontId="9" fillId="0" borderId="0" xfId="112" applyNumberFormat="1" applyFont="1" applyFill="1" applyAlignment="1">
      <alignment horizontal="center"/>
      <protection/>
    </xf>
    <xf numFmtId="15" fontId="9" fillId="0" borderId="0" xfId="112" applyNumberFormat="1" applyFont="1" applyFill="1" applyAlignment="1">
      <alignment horizontal="right"/>
      <protection/>
    </xf>
    <xf numFmtId="168" fontId="9" fillId="0" borderId="0" xfId="112" applyNumberFormat="1" applyFont="1" applyFill="1" applyAlignment="1" applyProtection="1">
      <alignment horizontal="left"/>
      <protection/>
    </xf>
    <xf numFmtId="15" fontId="9" fillId="0" borderId="0" xfId="112" applyNumberFormat="1" applyFont="1" applyFill="1" applyAlignment="1" applyProtection="1">
      <alignment horizontal="center"/>
      <protection/>
    </xf>
    <xf numFmtId="5" fontId="9" fillId="0" borderId="0" xfId="112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9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9" applyNumberFormat="1" applyFont="1" applyProtection="1">
      <alignment/>
      <protection/>
    </xf>
    <xf numFmtId="17" fontId="0" fillId="0" borderId="0" xfId="109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7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5" fontId="11" fillId="0" borderId="0" xfId="112" applyNumberFormat="1" applyFont="1" applyBorder="1" applyAlignment="1">
      <alignment horizontal="left"/>
      <protection/>
    </xf>
    <xf numFmtId="43" fontId="11" fillId="0" borderId="0" xfId="69" applyFont="1" applyBorder="1" applyAlignment="1">
      <alignment horizontal="left"/>
    </xf>
    <xf numFmtId="37" fontId="57" fillId="0" borderId="0" xfId="106" applyFont="1" applyFill="1">
      <alignment/>
      <protection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65" fontId="3" fillId="0" borderId="0" xfId="117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43" fillId="0" borderId="0" xfId="69" applyNumberFormat="1" applyFont="1" applyFill="1" applyBorder="1" applyAlignment="1" applyProtection="1">
      <alignment/>
      <protection/>
    </xf>
    <xf numFmtId="10" fontId="43" fillId="0" borderId="0" xfId="117" applyNumberFormat="1" applyFont="1" applyFill="1" applyBorder="1" applyAlignment="1" applyProtection="1">
      <alignment horizontal="center"/>
      <protection/>
    </xf>
    <xf numFmtId="10" fontId="42" fillId="0" borderId="0" xfId="118" applyNumberFormat="1" applyFont="1" applyFill="1" applyBorder="1" applyAlignment="1" applyProtection="1">
      <alignment horizontal="center"/>
      <protection/>
    </xf>
    <xf numFmtId="10" fontId="43" fillId="0" borderId="0" xfId="118" applyNumberFormat="1" applyFont="1" applyFill="1" applyBorder="1" applyAlignment="1" applyProtection="1">
      <alignment horizontal="center"/>
      <protection/>
    </xf>
    <xf numFmtId="172" fontId="5" fillId="0" borderId="0" xfId="111" applyNumberFormat="1" applyFont="1" applyFill="1" applyBorder="1" applyAlignment="1" applyProtection="1">
      <alignment horizontal="centerContinuous" vertical="center" wrapText="1"/>
      <protection/>
    </xf>
    <xf numFmtId="10" fontId="3" fillId="0" borderId="0" xfId="111" applyFont="1" applyFill="1" applyBorder="1" applyAlignment="1">
      <alignment horizontal="centerContinuous" vertical="center" wrapText="1"/>
      <protection/>
    </xf>
    <xf numFmtId="165" fontId="3" fillId="0" borderId="0" xfId="111" applyNumberFormat="1" applyFont="1" applyFill="1" applyAlignment="1" applyProtection="1">
      <alignment/>
      <protection/>
    </xf>
    <xf numFmtId="165" fontId="3" fillId="0" borderId="10" xfId="111" applyNumberFormat="1" applyFont="1" applyFill="1" applyBorder="1" applyAlignment="1" applyProtection="1">
      <alignment/>
      <protection/>
    </xf>
    <xf numFmtId="37" fontId="34" fillId="0" borderId="13" xfId="108" applyFont="1" applyFill="1" applyBorder="1" applyAlignment="1" applyProtection="1">
      <alignment horizontal="center"/>
      <protection/>
    </xf>
    <xf numFmtId="165" fontId="3" fillId="0" borderId="13" xfId="111" applyNumberFormat="1" applyFont="1" applyFill="1" applyBorder="1" applyAlignment="1" applyProtection="1">
      <alignment/>
      <protection/>
    </xf>
    <xf numFmtId="10" fontId="3" fillId="0" borderId="13" xfId="111" applyNumberFormat="1" applyFont="1" applyFill="1" applyBorder="1" applyAlignment="1" applyProtection="1">
      <alignment/>
      <protection/>
    </xf>
    <xf numFmtId="10" fontId="5" fillId="0" borderId="13" xfId="111" applyNumberFormat="1" applyFont="1" applyFill="1" applyBorder="1" applyAlignment="1" applyProtection="1">
      <alignment/>
      <protection/>
    </xf>
    <xf numFmtId="165" fontId="5" fillId="0" borderId="0" xfId="111" applyNumberFormat="1" applyFont="1" applyFill="1" applyAlignment="1" applyProtection="1">
      <alignment/>
      <protection/>
    </xf>
    <xf numFmtId="10" fontId="5" fillId="0" borderId="0" xfId="111" applyNumberFormat="1" applyFont="1" applyFill="1" applyAlignment="1" applyProtection="1">
      <alignment/>
      <protection/>
    </xf>
    <xf numFmtId="165" fontId="35" fillId="0" borderId="0" xfId="111" applyNumberFormat="1" applyFont="1" applyFill="1" applyAlignment="1" applyProtection="1">
      <alignment/>
      <protection/>
    </xf>
    <xf numFmtId="10" fontId="36" fillId="0" borderId="0" xfId="111" applyNumberFormat="1" applyFont="1" applyFill="1" applyBorder="1" applyAlignment="1" applyProtection="1">
      <alignment horizontal="right"/>
      <protection/>
    </xf>
    <xf numFmtId="10" fontId="35" fillId="0" borderId="0" xfId="111" applyNumberFormat="1" applyFont="1" applyFill="1" applyAlignment="1" applyProtection="1">
      <alignment/>
      <protection/>
    </xf>
    <xf numFmtId="5" fontId="37" fillId="0" borderId="0" xfId="111" applyNumberFormat="1" applyFont="1" applyFill="1" applyBorder="1" applyAlignment="1" applyProtection="1">
      <alignment/>
      <protection/>
    </xf>
    <xf numFmtId="10" fontId="1" fillId="0" borderId="0" xfId="111" applyNumberFormat="1" applyFont="1" applyFill="1" applyAlignment="1" applyProtection="1">
      <alignment/>
      <protection/>
    </xf>
    <xf numFmtId="37" fontId="0" fillId="18" borderId="14" xfId="0" applyNumberFormat="1" applyFont="1" applyFill="1" applyBorder="1" applyAlignment="1">
      <alignment/>
    </xf>
    <xf numFmtId="10" fontId="12" fillId="18" borderId="15" xfId="0" applyNumberFormat="1" applyFont="1" applyFill="1" applyBorder="1" applyAlignment="1">
      <alignment horizontal="right"/>
    </xf>
    <xf numFmtId="175" fontId="12" fillId="18" borderId="15" xfId="107" applyNumberFormat="1" applyFont="1" applyFill="1" applyBorder="1" applyProtection="1">
      <alignment/>
      <protection/>
    </xf>
    <xf numFmtId="37" fontId="0" fillId="18" borderId="16" xfId="0" applyNumberFormat="1" applyFont="1" applyFill="1" applyBorder="1" applyAlignment="1">
      <alignment/>
    </xf>
    <xf numFmtId="168" fontId="0" fillId="18" borderId="17" xfId="0" applyNumberFormat="1" applyFont="1" applyFill="1" applyBorder="1" applyAlignment="1">
      <alignment/>
    </xf>
    <xf numFmtId="10" fontId="12" fillId="18" borderId="17" xfId="0" applyNumberFormat="1" applyFont="1" applyFill="1" applyBorder="1" applyAlignment="1">
      <alignment horizontal="right"/>
    </xf>
    <xf numFmtId="175" fontId="12" fillId="18" borderId="17" xfId="107" applyNumberFormat="1" applyFont="1" applyFill="1" applyBorder="1" applyProtection="1">
      <alignment/>
      <protection/>
    </xf>
    <xf numFmtId="175" fontId="12" fillId="18" borderId="18" xfId="107" applyNumberFormat="1" applyFont="1" applyFill="1" applyBorder="1" applyProtection="1">
      <alignment/>
      <protection/>
    </xf>
    <xf numFmtId="175" fontId="34" fillId="18" borderId="19" xfId="107" applyNumberFormat="1" applyFont="1" applyFill="1" applyBorder="1" applyProtection="1">
      <alignment/>
      <protection/>
    </xf>
    <xf numFmtId="37" fontId="58" fillId="19" borderId="20" xfId="0" applyFont="1" applyFill="1" applyBorder="1" applyAlignment="1">
      <alignment horizontal="left" vertical="center"/>
    </xf>
    <xf numFmtId="37" fontId="3" fillId="19" borderId="21" xfId="109" applyFont="1" applyFill="1" applyBorder="1">
      <alignment/>
      <protection/>
    </xf>
    <xf numFmtId="37" fontId="3" fillId="19" borderId="22" xfId="109" applyFont="1" applyFill="1" applyBorder="1">
      <alignment/>
      <protection/>
    </xf>
    <xf numFmtId="39" fontId="59" fillId="20" borderId="0" xfId="0" applyNumberFormat="1" applyFont="1" applyFill="1" applyAlignment="1">
      <alignment horizontal="center"/>
    </xf>
    <xf numFmtId="175" fontId="60" fillId="20" borderId="0" xfId="107" applyNumberFormat="1" applyFont="1" applyFill="1" applyProtection="1">
      <alignment/>
      <protection/>
    </xf>
    <xf numFmtId="175" fontId="61" fillId="20" borderId="11" xfId="107" applyNumberFormat="1" applyFont="1" applyFill="1" applyBorder="1" applyProtection="1">
      <alignment/>
      <protection/>
    </xf>
    <xf numFmtId="37" fontId="51" fillId="0" borderId="0" xfId="0" applyFont="1" applyAlignment="1">
      <alignment/>
    </xf>
    <xf numFmtId="168" fontId="0" fillId="18" borderId="15" xfId="0" applyNumberFormat="1" applyFont="1" applyFill="1" applyBorder="1" applyAlignment="1">
      <alignment/>
    </xf>
    <xf numFmtId="17" fontId="0" fillId="18" borderId="15" xfId="0" applyNumberFormat="1" applyFont="1" applyFill="1" applyBorder="1" applyAlignment="1">
      <alignment horizontal="center"/>
    </xf>
    <xf numFmtId="39" fontId="0" fillId="18" borderId="15" xfId="0" applyNumberFormat="1" applyFont="1" applyFill="1" applyBorder="1" applyAlignment="1">
      <alignment horizontal="center"/>
    </xf>
    <xf numFmtId="175" fontId="0" fillId="18" borderId="23" xfId="107" applyNumberFormat="1" applyFont="1" applyFill="1" applyBorder="1" applyProtection="1">
      <alignment/>
      <protection/>
    </xf>
    <xf numFmtId="39" fontId="0" fillId="18" borderId="17" xfId="0" applyNumberFormat="1" applyFont="1" applyFill="1" applyBorder="1" applyAlignment="1">
      <alignment horizontal="center"/>
    </xf>
    <xf numFmtId="17" fontId="0" fillId="18" borderId="17" xfId="0" applyNumberFormat="1" applyFont="1" applyFill="1" applyBorder="1" applyAlignment="1">
      <alignment horizontal="center"/>
    </xf>
    <xf numFmtId="0" fontId="62" fillId="0" borderId="24" xfId="101" applyFont="1" applyBorder="1" applyAlignment="1">
      <alignment horizontal="center" vertical="center"/>
      <protection/>
    </xf>
    <xf numFmtId="0" fontId="62" fillId="0" borderId="25" xfId="101" applyFont="1" applyBorder="1" applyAlignment="1">
      <alignment horizontal="center" vertical="center"/>
      <protection/>
    </xf>
    <xf numFmtId="0" fontId="62" fillId="0" borderId="26" xfId="101" applyFont="1" applyBorder="1" applyAlignment="1">
      <alignment horizontal="center" vertical="center"/>
      <protection/>
    </xf>
    <xf numFmtId="0" fontId="62" fillId="21" borderId="27" xfId="101" applyFont="1" applyFill="1" applyBorder="1" applyAlignment="1">
      <alignment horizontal="center" vertical="top" wrapText="1"/>
      <protection/>
    </xf>
    <xf numFmtId="0" fontId="62" fillId="21" borderId="28" xfId="101" applyFont="1" applyFill="1" applyBorder="1" applyAlignment="1">
      <alignment horizontal="center" vertical="top" wrapText="1"/>
      <protection/>
    </xf>
    <xf numFmtId="0" fontId="62" fillId="21" borderId="29" xfId="101" applyFont="1" applyFill="1" applyBorder="1" applyAlignment="1">
      <alignment horizontal="center" vertical="top" wrapText="1"/>
      <protection/>
    </xf>
    <xf numFmtId="0" fontId="62" fillId="21" borderId="30" xfId="101" applyFont="1" applyFill="1" applyBorder="1" applyAlignment="1">
      <alignment horizontal="center" vertical="top" wrapText="1"/>
      <protection/>
    </xf>
    <xf numFmtId="0" fontId="62" fillId="21" borderId="31" xfId="101" applyFont="1" applyFill="1" applyBorder="1" applyAlignment="1">
      <alignment horizontal="center" vertical="top" wrapText="1"/>
      <protection/>
    </xf>
    <xf numFmtId="0" fontId="62" fillId="21" borderId="32" xfId="101" applyFont="1" applyFill="1" applyBorder="1" applyAlignment="1">
      <alignment horizontal="center" vertical="top" wrapText="1"/>
      <protection/>
    </xf>
    <xf numFmtId="10" fontId="5" fillId="0" borderId="33" xfId="111" applyFont="1" applyFill="1" applyBorder="1" applyAlignment="1" applyProtection="1">
      <alignment horizontal="center" wrapText="1"/>
      <protection/>
    </xf>
    <xf numFmtId="10" fontId="5" fillId="0" borderId="13" xfId="111" applyFont="1" applyFill="1" applyBorder="1" applyAlignment="1" applyProtection="1">
      <alignment horizontal="center" wrapText="1"/>
      <protection/>
    </xf>
    <xf numFmtId="10" fontId="5" fillId="0" borderId="34" xfId="111" applyFont="1" applyFill="1" applyBorder="1" applyAlignment="1" applyProtection="1">
      <alignment horizontal="center" wrapText="1"/>
      <protection/>
    </xf>
    <xf numFmtId="10" fontId="33" fillId="0" borderId="0" xfId="111" applyFont="1" applyAlignment="1" applyProtection="1">
      <alignment horizontal="center"/>
      <protection/>
    </xf>
    <xf numFmtId="172" fontId="33" fillId="0" borderId="0" xfId="111" applyNumberFormat="1" applyFont="1" applyAlignment="1" applyProtection="1">
      <alignment horizontal="center"/>
      <protection/>
    </xf>
    <xf numFmtId="37" fontId="34" fillId="0" borderId="0" xfId="109" applyNumberFormat="1" applyFont="1" applyBorder="1" applyAlignment="1" applyProtection="1">
      <alignment horizontal="center" wrapText="1"/>
      <protection/>
    </xf>
    <xf numFmtId="37" fontId="34" fillId="0" borderId="10" xfId="109" applyNumberFormat="1" applyFont="1" applyBorder="1" applyAlignment="1" applyProtection="1">
      <alignment horizontal="center" wrapText="1"/>
      <protection/>
    </xf>
    <xf numFmtId="3" fontId="34" fillId="0" borderId="0" xfId="110" applyFont="1" applyAlignment="1">
      <alignment horizontal="left" wrapText="1"/>
      <protection/>
    </xf>
    <xf numFmtId="37" fontId="63" fillId="20" borderId="0" xfId="0" applyFont="1" applyFill="1" applyAlignment="1">
      <alignment/>
    </xf>
    <xf numFmtId="37" fontId="3" fillId="20" borderId="0" xfId="109" applyFont="1" applyFill="1">
      <alignment/>
      <protection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10 2" xfId="101"/>
    <cellStyle name="Normal 2" xfId="102"/>
    <cellStyle name="Normal 2 2" xfId="103"/>
    <cellStyle name="Normal 2 2 2" xfId="104"/>
    <cellStyle name="Normal 2 3" xfId="105"/>
    <cellStyle name="Normal 3" xfId="106"/>
    <cellStyle name="Normal_AMACAPST" xfId="107"/>
    <cellStyle name="Normal_COSTOF" xfId="108"/>
    <cellStyle name="Normal_COSTOFD" xfId="109"/>
    <cellStyle name="Normal_Psebonds" xfId="110"/>
    <cellStyle name="Normal_RATEOFRE" xfId="111"/>
    <cellStyle name="Normal_SCHEDULE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3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D14">
            <v>0.0261</v>
          </cell>
          <cell r="E14">
            <v>0.0027</v>
          </cell>
        </row>
        <row r="16">
          <cell r="D16">
            <v>0.4842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  <sheetData sheetId="5">
        <row r="15">
          <cell r="D15">
            <v>-47576.01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</row>
        <row r="16">
          <cell r="C16">
            <v>4338044407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16"/>
  <sheetViews>
    <sheetView zoomScalePageLayoutView="0" workbookViewId="0" topLeftCell="A1">
      <selection activeCell="F16" sqref="F16"/>
    </sheetView>
  </sheetViews>
  <sheetFormatPr defaultColWidth="9.33203125" defaultRowHeight="11.25"/>
  <cols>
    <col min="16" max="16" width="20" style="0" customWidth="1"/>
  </cols>
  <sheetData>
    <row r="3" ht="12" thickBot="1"/>
    <row r="4" spans="4:16" ht="27" thickBot="1">
      <c r="D4" s="308" t="s">
        <v>148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</row>
    <row r="7" ht="11.25" customHeight="1"/>
    <row r="8" ht="12" customHeight="1" thickBot="1"/>
    <row r="9" spans="4:16" ht="11.25">
      <c r="D9" s="311" t="s">
        <v>147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3"/>
    </row>
    <row r="10" spans="4:16" ht="18.75" customHeight="1" thickBot="1">
      <c r="D10" s="314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</row>
    <row r="16" ht="23.25">
      <c r="F16" s="301" t="s">
        <v>150</v>
      </c>
    </row>
  </sheetData>
  <sheetProtection/>
  <mergeCells count="2">
    <mergeCell ref="D4:P4"/>
    <mergeCell ref="D9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6">
      <selection activeCell="F25" sqref="F25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6384" width="11.5" style="1" customWidth="1"/>
  </cols>
  <sheetData>
    <row r="1" spans="2:6" ht="15.75">
      <c r="B1" s="45" t="s">
        <v>126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320" t="s">
        <v>2</v>
      </c>
      <c r="C3" s="320"/>
      <c r="D3" s="320"/>
      <c r="E3" s="320"/>
      <c r="F3" s="320"/>
    </row>
    <row r="4" spans="2:8" ht="15" customHeight="1">
      <c r="B4" s="321" t="s">
        <v>110</v>
      </c>
      <c r="C4" s="321"/>
      <c r="D4" s="321"/>
      <c r="E4" s="321"/>
      <c r="F4" s="321"/>
      <c r="H4" s="37"/>
    </row>
    <row r="5" spans="1:8" ht="12.75">
      <c r="A5" s="271" t="s">
        <v>136</v>
      </c>
      <c r="B5" s="272"/>
      <c r="C5" s="271"/>
      <c r="D5" s="271"/>
      <c r="E5" s="271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317" t="s">
        <v>112</v>
      </c>
      <c r="C9" s="318"/>
      <c r="D9" s="318"/>
      <c r="E9" s="318"/>
      <c r="F9" s="319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8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  <c r="H11" s="37"/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104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116"/>
      <c r="E13" s="116"/>
      <c r="F13" s="49"/>
      <c r="H13" s="37"/>
    </row>
    <row r="14" spans="1:8" ht="12.75">
      <c r="A14" s="48">
        <f t="shared" si="0"/>
        <v>7</v>
      </c>
      <c r="B14" s="56" t="s">
        <v>122</v>
      </c>
      <c r="C14" s="49"/>
      <c r="D14" s="273">
        <f>'3- STD Int &amp; Fees-Details '!P59</f>
        <v>0.0241572072333097</v>
      </c>
      <c r="E14" s="231">
        <f>'2 - Cost of Total Debt (R)'!G37</f>
        <v>0.0236</v>
      </c>
      <c r="F14" s="57">
        <f>ROUND(D14*E14,4)</f>
        <v>0.0006</v>
      </c>
      <c r="H14" s="44"/>
    </row>
    <row r="15" spans="1:8" ht="12.75">
      <c r="A15" s="48">
        <f t="shared" si="0"/>
        <v>8</v>
      </c>
      <c r="B15" s="58" t="s">
        <v>25</v>
      </c>
      <c r="C15" s="49"/>
      <c r="D15" s="273"/>
      <c r="E15" s="231"/>
      <c r="F15" s="231">
        <f>'3- STD Int &amp; Fees-Details '!P48</f>
        <v>0.0001</v>
      </c>
      <c r="H15" s="37"/>
    </row>
    <row r="16" spans="1:8" ht="12.75">
      <c r="A16" s="48">
        <f t="shared" si="0"/>
        <v>9</v>
      </c>
      <c r="B16" s="59" t="s">
        <v>99</v>
      </c>
      <c r="C16" s="60"/>
      <c r="D16" s="274"/>
      <c r="E16" s="232"/>
      <c r="F16" s="232">
        <f>'3- STD Int &amp; Fees-Details '!P54</f>
        <v>0.0001</v>
      </c>
      <c r="H16" s="37"/>
    </row>
    <row r="17" spans="1:8" ht="12.75">
      <c r="A17" s="48">
        <f t="shared" si="0"/>
        <v>10</v>
      </c>
      <c r="B17" s="61" t="s">
        <v>121</v>
      </c>
      <c r="C17" s="49"/>
      <c r="D17" s="273"/>
      <c r="E17" s="231"/>
      <c r="F17" s="62">
        <f>SUM(F14:F16)</f>
        <v>0.0008</v>
      </c>
      <c r="H17" s="37"/>
    </row>
    <row r="18" spans="1:8" ht="12.75">
      <c r="A18" s="48">
        <f t="shared" si="0"/>
        <v>11</v>
      </c>
      <c r="B18" s="56" t="s">
        <v>123</v>
      </c>
      <c r="C18" s="63"/>
      <c r="D18" s="273">
        <f>'3- STD Int &amp; Fees-Details '!P60</f>
        <v>0.48084279276669034</v>
      </c>
      <c r="E18" s="231">
        <f>'2 - Cost of Total Debt (R)'!G35</f>
        <v>0.05068414681401801</v>
      </c>
      <c r="F18" s="231">
        <f>ROUND(D18*E18,4)</f>
        <v>0.0244</v>
      </c>
      <c r="H18" s="265"/>
    </row>
    <row r="19" spans="1:8" ht="12.75">
      <c r="A19" s="48">
        <f t="shared" si="0"/>
        <v>12</v>
      </c>
      <c r="B19" s="59" t="s">
        <v>100</v>
      </c>
      <c r="C19" s="60"/>
      <c r="D19" s="274"/>
      <c r="E19" s="232"/>
      <c r="F19" s="232">
        <f>'4 Reacquired Debt'!K26</f>
        <v>0.0002</v>
      </c>
      <c r="H19" s="37"/>
    </row>
    <row r="20" spans="1:8" ht="12.75">
      <c r="A20" s="48">
        <f t="shared" si="0"/>
        <v>13</v>
      </c>
      <c r="B20" s="215" t="s">
        <v>124</v>
      </c>
      <c r="C20" s="275"/>
      <c r="D20" s="276"/>
      <c r="E20" s="277"/>
      <c r="F20" s="278">
        <f>F18+F19</f>
        <v>0.0246</v>
      </c>
      <c r="H20" s="37"/>
    </row>
    <row r="21" spans="1:8" ht="12.75">
      <c r="A21" s="48">
        <f t="shared" si="0"/>
        <v>14</v>
      </c>
      <c r="B21" s="220" t="s">
        <v>101</v>
      </c>
      <c r="C21" s="116"/>
      <c r="D21" s="279">
        <f>D14+D18</f>
        <v>0.505</v>
      </c>
      <c r="E21" s="231"/>
      <c r="F21" s="280">
        <f>F17+F20</f>
        <v>0.0254</v>
      </c>
      <c r="H21" s="37"/>
    </row>
    <row r="22" spans="1:8" ht="12.75">
      <c r="A22" s="48">
        <f t="shared" si="0"/>
        <v>15</v>
      </c>
      <c r="B22" s="220" t="s">
        <v>102</v>
      </c>
      <c r="C22" s="116"/>
      <c r="D22" s="281">
        <v>0.495</v>
      </c>
      <c r="E22" s="282">
        <v>0.099</v>
      </c>
      <c r="F22" s="283">
        <f>ROUND(D22*E22,4)</f>
        <v>0.049</v>
      </c>
      <c r="H22" s="37"/>
    </row>
    <row r="23" spans="1:8" ht="12.75">
      <c r="A23" s="48">
        <f t="shared" si="0"/>
        <v>16</v>
      </c>
      <c r="B23" s="220" t="s">
        <v>103</v>
      </c>
      <c r="C23" s="284"/>
      <c r="D23" s="228">
        <v>1</v>
      </c>
      <c r="E23" s="231"/>
      <c r="F23" s="230">
        <f>F21+F22</f>
        <v>0.0744</v>
      </c>
      <c r="H23" s="37"/>
    </row>
    <row r="24" spans="1:8" ht="12.75">
      <c r="A24" s="48">
        <f t="shared" si="0"/>
        <v>17</v>
      </c>
      <c r="B24" s="116"/>
      <c r="C24" s="116"/>
      <c r="D24" s="116"/>
      <c r="E24" s="116"/>
      <c r="F24" s="116"/>
      <c r="H24" s="37"/>
    </row>
    <row r="25" spans="1:8" ht="12.75">
      <c r="A25" s="48">
        <f t="shared" si="0"/>
        <v>18</v>
      </c>
      <c r="B25" s="116"/>
      <c r="C25" s="116"/>
      <c r="D25" s="116"/>
      <c r="E25" s="116"/>
      <c r="F25" s="116"/>
      <c r="H25" s="37"/>
    </row>
    <row r="26" spans="1:8" ht="12.75">
      <c r="A26" s="48">
        <f t="shared" si="0"/>
        <v>19</v>
      </c>
      <c r="B26" s="317" t="s">
        <v>113</v>
      </c>
      <c r="C26" s="318"/>
      <c r="D26" s="318"/>
      <c r="E26" s="318"/>
      <c r="F26" s="319"/>
      <c r="H26" s="37"/>
    </row>
    <row r="27" spans="1:7" ht="12.75">
      <c r="A27" s="48">
        <f t="shared" si="0"/>
        <v>20</v>
      </c>
      <c r="B27" s="188"/>
      <c r="C27" s="188"/>
      <c r="D27" s="188"/>
      <c r="E27" s="188"/>
      <c r="F27" s="188"/>
      <c r="G27" s="64"/>
    </row>
    <row r="28" spans="1:7" ht="12.75">
      <c r="A28" s="48">
        <f t="shared" si="0"/>
        <v>21</v>
      </c>
      <c r="B28" s="189"/>
      <c r="C28" s="190" t="s">
        <v>111</v>
      </c>
      <c r="D28" s="189"/>
      <c r="E28" s="191" t="s">
        <v>6</v>
      </c>
      <c r="F28" s="191" t="s">
        <v>3</v>
      </c>
      <c r="G28" s="64"/>
    </row>
    <row r="29" spans="1:7" ht="12.75">
      <c r="A29" s="48">
        <f t="shared" si="0"/>
        <v>22</v>
      </c>
      <c r="B29" s="192" t="s">
        <v>4</v>
      </c>
      <c r="C29" s="193" t="s">
        <v>114</v>
      </c>
      <c r="D29" s="194" t="s">
        <v>5</v>
      </c>
      <c r="E29" s="194" t="s">
        <v>104</v>
      </c>
      <c r="F29" s="194" t="s">
        <v>7</v>
      </c>
      <c r="G29" s="64"/>
    </row>
    <row r="30" spans="1:7" ht="12.75">
      <c r="A30" s="48">
        <f t="shared" si="0"/>
        <v>23</v>
      </c>
      <c r="B30" s="195"/>
      <c r="C30" s="195"/>
      <c r="D30" s="196"/>
      <c r="E30" s="195"/>
      <c r="F30" s="197"/>
      <c r="G30" s="64"/>
    </row>
    <row r="31" spans="1:8" ht="12.75">
      <c r="A31" s="48">
        <f t="shared" si="0"/>
        <v>24</v>
      </c>
      <c r="B31" s="198" t="s">
        <v>122</v>
      </c>
      <c r="C31" s="199">
        <f>+'[5]Pg 1 Summary'!$C$14</f>
        <v>233962500</v>
      </c>
      <c r="D31" s="200">
        <f>+'[4]Pg 1 Summary'!$D$14</f>
        <v>0.0261</v>
      </c>
      <c r="E31" s="201">
        <f>+'[4]Pg 1 Summary'!$E$14</f>
        <v>0.0027</v>
      </c>
      <c r="F31" s="285">
        <f>ROUND(D31*E31,4)</f>
        <v>0.0001</v>
      </c>
      <c r="G31" s="64"/>
      <c r="H31" s="44"/>
    </row>
    <row r="32" spans="1:7" ht="12.75">
      <c r="A32" s="48">
        <f t="shared" si="0"/>
        <v>25</v>
      </c>
      <c r="B32" s="203" t="s">
        <v>25</v>
      </c>
      <c r="C32" s="204"/>
      <c r="D32" s="205"/>
      <c r="E32" s="206"/>
      <c r="F32" s="207">
        <f>+'[4]Pg 1 Summary'!$F$20</f>
        <v>0.0002</v>
      </c>
      <c r="G32" s="64"/>
    </row>
    <row r="33" spans="1:7" ht="12.75">
      <c r="A33" s="48">
        <f t="shared" si="0"/>
        <v>26</v>
      </c>
      <c r="B33" s="208" t="s">
        <v>99</v>
      </c>
      <c r="C33" s="209"/>
      <c r="D33" s="210"/>
      <c r="E33" s="211"/>
      <c r="F33" s="212">
        <f>+'[4]Pg 1 Summary'!$F$22</f>
        <v>0.0001</v>
      </c>
      <c r="G33" s="64"/>
    </row>
    <row r="34" spans="1:7" ht="12.75">
      <c r="A34" s="48">
        <f t="shared" si="0"/>
        <v>27</v>
      </c>
      <c r="B34" s="213" t="s">
        <v>121</v>
      </c>
      <c r="C34" s="204"/>
      <c r="D34" s="205"/>
      <c r="E34" s="206"/>
      <c r="F34" s="214">
        <f>SUM(F31:F33)</f>
        <v>0.0004</v>
      </c>
      <c r="G34" s="64"/>
    </row>
    <row r="35" spans="1:8" ht="12.75">
      <c r="A35" s="48">
        <f t="shared" si="0"/>
        <v>28</v>
      </c>
      <c r="B35" s="198" t="s">
        <v>8</v>
      </c>
      <c r="C35" s="204">
        <f>+'[5]Pg 1 Summary'!$C$16</f>
        <v>4338044407</v>
      </c>
      <c r="D35" s="200">
        <f>+'[4]Pg 1 Summary'!$D$16</f>
        <v>0.4842</v>
      </c>
      <c r="E35" s="201">
        <f>'[6]Pg 1 Summary'!$E$16</f>
        <v>0.0528</v>
      </c>
      <c r="F35" s="202">
        <f>ROUND(D35*E35,4)</f>
        <v>0.0256</v>
      </c>
      <c r="G35" s="64"/>
      <c r="H35" s="44"/>
    </row>
    <row r="36" spans="1:10" ht="12.75">
      <c r="A36" s="48">
        <f t="shared" si="0"/>
        <v>29</v>
      </c>
      <c r="B36" s="208" t="s">
        <v>100</v>
      </c>
      <c r="C36" s="209"/>
      <c r="D36" s="210"/>
      <c r="E36" s="211"/>
      <c r="F36" s="212">
        <f>+'[4]Pg 1 Summary'!$F$24</f>
        <v>0.0002</v>
      </c>
      <c r="G36" s="64"/>
      <c r="H36" s="238"/>
      <c r="I36" s="238"/>
      <c r="J36" s="239"/>
    </row>
    <row r="37" spans="1:7" ht="12.75">
      <c r="A37" s="48">
        <f t="shared" si="0"/>
        <v>30</v>
      </c>
      <c r="B37" s="215" t="s">
        <v>124</v>
      </c>
      <c r="C37" s="216"/>
      <c r="D37" s="217"/>
      <c r="E37" s="218"/>
      <c r="F37" s="219">
        <f>F35+F36</f>
        <v>0.0258</v>
      </c>
      <c r="G37" s="64"/>
    </row>
    <row r="38" spans="1:9" ht="12.75">
      <c r="A38" s="48">
        <f t="shared" si="0"/>
        <v>31</v>
      </c>
      <c r="B38" s="220" t="s">
        <v>101</v>
      </c>
      <c r="C38" s="221">
        <f>+C31+C35</f>
        <v>4572006907</v>
      </c>
      <c r="D38" s="222">
        <f>+'[5]Pg 1 Summary'!$D$26</f>
        <v>0.5104</v>
      </c>
      <c r="E38" s="201"/>
      <c r="F38" s="223">
        <f>F34+F37</f>
        <v>0.0262</v>
      </c>
      <c r="G38" s="64"/>
      <c r="H38" s="44"/>
      <c r="I38" s="43"/>
    </row>
    <row r="39" spans="1:9" ht="12.75">
      <c r="A39" s="48">
        <f t="shared" si="0"/>
        <v>32</v>
      </c>
      <c r="B39" s="220" t="s">
        <v>102</v>
      </c>
      <c r="C39" s="224">
        <f>+'[5]Pg 1 Summary'!$C$28</f>
        <v>4386402333</v>
      </c>
      <c r="D39" s="225">
        <f>+'[5]Pg 1 Summary'!$D$28</f>
        <v>0.4896</v>
      </c>
      <c r="E39" s="282">
        <f>+'[4]Pg 1 Summary'!$E$28</f>
        <v>0.09425205479452056</v>
      </c>
      <c r="F39" s="226">
        <f>ROUND(+D39*E39,4)</f>
        <v>0.0461</v>
      </c>
      <c r="G39" s="64"/>
      <c r="H39" s="44"/>
      <c r="I39" s="43"/>
    </row>
    <row r="40" spans="1:8" ht="12.75">
      <c r="A40" s="48">
        <f t="shared" si="0"/>
        <v>33</v>
      </c>
      <c r="B40" s="220" t="s">
        <v>103</v>
      </c>
      <c r="C40" s="227">
        <f>SUM(C38:C39)</f>
        <v>8958409240</v>
      </c>
      <c r="D40" s="228">
        <f>SUM(D38:D39)</f>
        <v>1</v>
      </c>
      <c r="E40" s="229"/>
      <c r="F40" s="230">
        <f>SUM(F38:F39)</f>
        <v>0.0723</v>
      </c>
      <c r="G40" s="64"/>
      <c r="H40" s="42"/>
    </row>
    <row r="41" spans="1:7" ht="12.75">
      <c r="A41" s="48"/>
      <c r="C41" s="66"/>
      <c r="D41" s="67"/>
      <c r="E41" s="65"/>
      <c r="F41" s="67"/>
      <c r="G41" s="64"/>
    </row>
    <row r="42" spans="1:6" ht="12.75">
      <c r="A42" s="48"/>
      <c r="B42" s="68"/>
      <c r="C42" s="69"/>
      <c r="E42" s="70"/>
      <c r="F42" s="70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tabSelected="1" view="pageLayout" zoomScaleNormal="110" zoomScaleSheetLayoutView="100" workbookViewId="0" topLeftCell="A4">
      <selection activeCell="P18" sqref="P18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6384" width="8.66015625" style="8" customWidth="1"/>
  </cols>
  <sheetData>
    <row r="1" spans="1:10" ht="12.75">
      <c r="A1" s="71"/>
      <c r="B1" s="72" t="s">
        <v>69</v>
      </c>
      <c r="C1" s="73"/>
      <c r="D1" s="73"/>
      <c r="E1" s="73"/>
      <c r="F1" s="73"/>
      <c r="G1" s="72"/>
      <c r="H1" s="73"/>
      <c r="I1" s="73"/>
      <c r="J1" s="72"/>
    </row>
    <row r="2" spans="1:10" s="30" customFormat="1" ht="12.75">
      <c r="A2" s="74"/>
      <c r="B2" s="72" t="s">
        <v>119</v>
      </c>
      <c r="C2" s="73"/>
      <c r="D2" s="73"/>
      <c r="E2" s="73"/>
      <c r="F2" s="73"/>
      <c r="G2" s="72"/>
      <c r="H2" s="73"/>
      <c r="I2" s="73"/>
      <c r="J2" s="72"/>
    </row>
    <row r="3" spans="1:10" s="30" customFormat="1" ht="12.75">
      <c r="A3" s="75"/>
      <c r="B3" s="72" t="s">
        <v>135</v>
      </c>
      <c r="C3" s="73"/>
      <c r="D3" s="73"/>
      <c r="E3" s="73"/>
      <c r="F3" s="73"/>
      <c r="G3" s="72"/>
      <c r="H3" s="73"/>
      <c r="I3" s="73"/>
      <c r="J3" s="72"/>
    </row>
    <row r="4" spans="1:10" s="30" customFormat="1" ht="12.75">
      <c r="A4" s="75"/>
      <c r="B4" s="72"/>
      <c r="C4" s="73"/>
      <c r="D4" s="73"/>
      <c r="E4" s="73"/>
      <c r="F4" s="73"/>
      <c r="G4" s="72"/>
      <c r="H4" s="73"/>
      <c r="I4" s="73"/>
      <c r="J4" s="72"/>
    </row>
    <row r="5" spans="1:8" ht="10.5" customHeight="1">
      <c r="A5" s="295" t="s">
        <v>149</v>
      </c>
      <c r="B5" s="296"/>
      <c r="C5" s="296"/>
      <c r="D5" s="296"/>
      <c r="E5" s="296"/>
      <c r="F5" s="296"/>
      <c r="G5" s="296"/>
      <c r="H5" s="297"/>
    </row>
    <row r="6" spans="1:14" ht="10.5" customHeight="1">
      <c r="A6" s="76">
        <v>1</v>
      </c>
      <c r="B6" s="77" t="s">
        <v>1</v>
      </c>
      <c r="C6" s="77" t="s">
        <v>17</v>
      </c>
      <c r="D6" s="77" t="s">
        <v>24</v>
      </c>
      <c r="E6" s="77" t="s">
        <v>26</v>
      </c>
      <c r="F6" s="77" t="s">
        <v>27</v>
      </c>
      <c r="G6" s="77" t="s">
        <v>28</v>
      </c>
      <c r="H6" s="77" t="s">
        <v>29</v>
      </c>
      <c r="I6" s="77" t="s">
        <v>30</v>
      </c>
      <c r="K6" s="325" t="s">
        <v>157</v>
      </c>
      <c r="L6" s="326"/>
      <c r="M6" s="326"/>
      <c r="N6" s="326"/>
    </row>
    <row r="7" spans="1:9" ht="10.5" customHeight="1">
      <c r="A7" s="76">
        <v>2</v>
      </c>
      <c r="B7" s="77"/>
      <c r="C7" s="77"/>
      <c r="D7" s="77"/>
      <c r="E7" s="77"/>
      <c r="F7" s="322" t="s">
        <v>109</v>
      </c>
      <c r="G7" s="78"/>
      <c r="H7" s="78"/>
      <c r="I7" s="322" t="s">
        <v>120</v>
      </c>
    </row>
    <row r="8" spans="1:9" ht="10.5" customHeight="1">
      <c r="A8" s="76">
        <v>3</v>
      </c>
      <c r="B8" s="77"/>
      <c r="C8" s="77"/>
      <c r="D8" s="77"/>
      <c r="E8" s="77"/>
      <c r="F8" s="322"/>
      <c r="G8" s="78"/>
      <c r="H8" s="78"/>
      <c r="I8" s="322"/>
    </row>
    <row r="9" spans="1:10" ht="10.5" customHeight="1">
      <c r="A9" s="76">
        <v>4</v>
      </c>
      <c r="B9" s="77"/>
      <c r="C9" s="79" t="s">
        <v>19</v>
      </c>
      <c r="D9" s="79" t="s">
        <v>9</v>
      </c>
      <c r="E9" s="80" t="s">
        <v>44</v>
      </c>
      <c r="F9" s="322"/>
      <c r="G9" s="322" t="s">
        <v>40</v>
      </c>
      <c r="H9" s="322" t="s">
        <v>118</v>
      </c>
      <c r="I9" s="322"/>
      <c r="J9" s="186"/>
    </row>
    <row r="10" spans="1:9" ht="9.75" customHeight="1">
      <c r="A10" s="76">
        <v>5</v>
      </c>
      <c r="B10" s="81" t="s">
        <v>108</v>
      </c>
      <c r="C10" s="82" t="s">
        <v>11</v>
      </c>
      <c r="D10" s="81" t="s">
        <v>45</v>
      </c>
      <c r="E10" s="81" t="s">
        <v>45</v>
      </c>
      <c r="F10" s="323"/>
      <c r="G10" s="323"/>
      <c r="H10" s="323" t="s">
        <v>39</v>
      </c>
      <c r="I10" s="323"/>
    </row>
    <row r="11" spans="1:11" s="12" customFormat="1" ht="12.75">
      <c r="A11" s="76">
        <v>6</v>
      </c>
      <c r="B11" s="250" t="s">
        <v>14</v>
      </c>
      <c r="C11" s="252">
        <v>0.0715</v>
      </c>
      <c r="D11" s="253">
        <v>35053</v>
      </c>
      <c r="E11" s="253">
        <v>46010</v>
      </c>
      <c r="F11" s="256">
        <v>99.211912</v>
      </c>
      <c r="G11" s="243">
        <v>0.0721</v>
      </c>
      <c r="H11" s="85">
        <v>1081500</v>
      </c>
      <c r="I11" s="257">
        <v>15000000</v>
      </c>
      <c r="J11" s="187"/>
      <c r="K11" s="183"/>
    </row>
    <row r="12" spans="1:11" s="13" customFormat="1" ht="12.75">
      <c r="A12" s="76">
        <v>7</v>
      </c>
      <c r="B12" s="250" t="s">
        <v>14</v>
      </c>
      <c r="C12" s="252">
        <v>0.072</v>
      </c>
      <c r="D12" s="253">
        <v>35054</v>
      </c>
      <c r="E12" s="253">
        <v>46013</v>
      </c>
      <c r="F12" s="256">
        <v>99.2116</v>
      </c>
      <c r="G12" s="84">
        <v>0.0726</v>
      </c>
      <c r="H12" s="85">
        <v>145200</v>
      </c>
      <c r="I12" s="257">
        <v>2000000</v>
      </c>
      <c r="J12" s="85"/>
      <c r="K12" s="184"/>
    </row>
    <row r="13" spans="1:11" s="13" customFormat="1" ht="12.75">
      <c r="A13" s="76">
        <v>8</v>
      </c>
      <c r="B13" s="250" t="s">
        <v>12</v>
      </c>
      <c r="C13" s="252">
        <v>0.0702</v>
      </c>
      <c r="D13" s="253">
        <v>35786</v>
      </c>
      <c r="E13" s="253">
        <v>46722</v>
      </c>
      <c r="F13" s="256">
        <v>98.98573577666666</v>
      </c>
      <c r="G13" s="84">
        <v>0.071</v>
      </c>
      <c r="H13" s="85">
        <v>21299999.999999996</v>
      </c>
      <c r="I13" s="257">
        <v>300000000</v>
      </c>
      <c r="J13" s="85"/>
      <c r="K13" s="184"/>
    </row>
    <row r="14" spans="1:11" s="13" customFormat="1" ht="12.75">
      <c r="A14" s="76">
        <v>9</v>
      </c>
      <c r="B14" s="250" t="s">
        <v>13</v>
      </c>
      <c r="C14" s="252">
        <v>0.07</v>
      </c>
      <c r="D14" s="253">
        <v>36228</v>
      </c>
      <c r="E14" s="253">
        <v>47186</v>
      </c>
      <c r="F14" s="256">
        <v>99.04287054999999</v>
      </c>
      <c r="G14" s="84">
        <v>0.0708</v>
      </c>
      <c r="H14" s="85">
        <v>7080000</v>
      </c>
      <c r="I14" s="257">
        <v>100000000</v>
      </c>
      <c r="J14" s="85"/>
      <c r="K14" s="184"/>
    </row>
    <row r="15" spans="1:11" ht="12.75">
      <c r="A15" s="76">
        <v>10</v>
      </c>
      <c r="B15" s="250" t="s">
        <v>41</v>
      </c>
      <c r="C15" s="252">
        <v>0.05483</v>
      </c>
      <c r="D15" s="253">
        <v>38499</v>
      </c>
      <c r="E15" s="253">
        <v>49461</v>
      </c>
      <c r="F15" s="256">
        <v>84.886606836</v>
      </c>
      <c r="G15" s="84">
        <v>0.0665</v>
      </c>
      <c r="H15" s="85">
        <v>16625000</v>
      </c>
      <c r="I15" s="257">
        <v>250000000</v>
      </c>
      <c r="J15" s="85"/>
      <c r="K15" s="185"/>
    </row>
    <row r="16" spans="1:11" ht="12.75">
      <c r="A16" s="76">
        <v>11</v>
      </c>
      <c r="B16" s="250" t="s">
        <v>41</v>
      </c>
      <c r="C16" s="252">
        <v>0.06724</v>
      </c>
      <c r="D16" s="253">
        <v>38898</v>
      </c>
      <c r="E16" s="253">
        <v>49841</v>
      </c>
      <c r="F16" s="256">
        <v>107.515271756</v>
      </c>
      <c r="G16" s="84">
        <v>0.0617</v>
      </c>
      <c r="H16" s="85">
        <v>15425000</v>
      </c>
      <c r="I16" s="257">
        <v>250000000</v>
      </c>
      <c r="J16" s="85"/>
      <c r="K16" s="185"/>
    </row>
    <row r="17" spans="1:11" ht="12.75">
      <c r="A17" s="76">
        <v>12</v>
      </c>
      <c r="B17" s="250" t="s">
        <v>41</v>
      </c>
      <c r="C17" s="252">
        <v>0.06274</v>
      </c>
      <c r="D17" s="253">
        <v>38978</v>
      </c>
      <c r="E17" s="253">
        <v>50114</v>
      </c>
      <c r="F17" s="256">
        <v>98.8127</v>
      </c>
      <c r="G17" s="84">
        <v>0.0636</v>
      </c>
      <c r="H17" s="85">
        <v>19080000</v>
      </c>
      <c r="I17" s="257">
        <v>300000000</v>
      </c>
      <c r="J17" s="85"/>
      <c r="K17" s="185"/>
    </row>
    <row r="18" spans="1:11" ht="12.75">
      <c r="A18" s="76">
        <v>13</v>
      </c>
      <c r="B18" s="250" t="s">
        <v>41</v>
      </c>
      <c r="C18" s="252">
        <v>0.05757</v>
      </c>
      <c r="D18" s="253">
        <v>40067</v>
      </c>
      <c r="E18" s="253">
        <v>51058</v>
      </c>
      <c r="F18" s="256">
        <v>98.9836</v>
      </c>
      <c r="G18" s="84">
        <v>0.0583</v>
      </c>
      <c r="H18" s="85">
        <v>20405000</v>
      </c>
      <c r="I18" s="257">
        <v>350000000</v>
      </c>
      <c r="J18" s="85"/>
      <c r="K18" s="185"/>
    </row>
    <row r="19" spans="1:11" ht="12.75">
      <c r="A19" s="76">
        <v>14</v>
      </c>
      <c r="B19" s="250" t="s">
        <v>41</v>
      </c>
      <c r="C19" s="252">
        <v>0.05795</v>
      </c>
      <c r="D19" s="253">
        <v>40245</v>
      </c>
      <c r="E19" s="253">
        <v>51210</v>
      </c>
      <c r="F19" s="256">
        <v>98.9588</v>
      </c>
      <c r="G19" s="84">
        <v>0.0587</v>
      </c>
      <c r="H19" s="85">
        <v>19077500</v>
      </c>
      <c r="I19" s="257">
        <v>325000000</v>
      </c>
      <c r="J19" s="85"/>
      <c r="K19" s="185"/>
    </row>
    <row r="20" spans="1:11" ht="12.75">
      <c r="A20" s="76">
        <v>15</v>
      </c>
      <c r="B20" s="250" t="s">
        <v>41</v>
      </c>
      <c r="C20" s="252">
        <v>0.05764</v>
      </c>
      <c r="D20" s="253">
        <v>40358</v>
      </c>
      <c r="E20" s="253">
        <v>51332</v>
      </c>
      <c r="F20" s="256">
        <v>98.9652</v>
      </c>
      <c r="G20" s="84">
        <v>0.0584</v>
      </c>
      <c r="H20" s="85">
        <v>14600000</v>
      </c>
      <c r="I20" s="257">
        <v>250000000</v>
      </c>
      <c r="J20" s="85"/>
      <c r="K20" s="185"/>
    </row>
    <row r="21" spans="1:11" ht="12.75">
      <c r="A21" s="76">
        <v>16</v>
      </c>
      <c r="B21" s="250" t="s">
        <v>41</v>
      </c>
      <c r="C21" s="252">
        <v>0.05638</v>
      </c>
      <c r="D21" s="253">
        <v>40627</v>
      </c>
      <c r="E21" s="253">
        <v>51606</v>
      </c>
      <c r="F21" s="256">
        <v>98.971</v>
      </c>
      <c r="G21" s="84">
        <v>0.0571</v>
      </c>
      <c r="H21" s="85">
        <v>17130000</v>
      </c>
      <c r="I21" s="257">
        <v>300000000</v>
      </c>
      <c r="J21" s="85"/>
      <c r="K21" s="185"/>
    </row>
    <row r="22" spans="1:11" ht="12.75">
      <c r="A22" s="76">
        <v>17</v>
      </c>
      <c r="B22" s="250" t="s">
        <v>41</v>
      </c>
      <c r="C22" s="252">
        <v>0.04434</v>
      </c>
      <c r="D22" s="253">
        <v>40863</v>
      </c>
      <c r="E22" s="253">
        <v>51820</v>
      </c>
      <c r="F22" s="256">
        <v>98.963</v>
      </c>
      <c r="G22" s="84">
        <v>0.045</v>
      </c>
      <c r="H22" s="85">
        <v>11250000</v>
      </c>
      <c r="I22" s="257">
        <v>250000000</v>
      </c>
      <c r="J22" s="85"/>
      <c r="K22" s="185"/>
    </row>
    <row r="23" spans="1:11" ht="12.75">
      <c r="A23" s="76">
        <v>18</v>
      </c>
      <c r="B23" s="250" t="s">
        <v>41</v>
      </c>
      <c r="C23" s="252">
        <v>0.047</v>
      </c>
      <c r="D23" s="253">
        <v>40869</v>
      </c>
      <c r="E23" s="253">
        <v>55472</v>
      </c>
      <c r="F23" s="256">
        <v>98.8639</v>
      </c>
      <c r="G23" s="84">
        <v>0.0476</v>
      </c>
      <c r="H23" s="85">
        <v>2142000</v>
      </c>
      <c r="I23" s="257">
        <v>45000000</v>
      </c>
      <c r="J23" s="85"/>
      <c r="K23" s="185"/>
    </row>
    <row r="24" spans="1:11" ht="12.75">
      <c r="A24" s="76">
        <v>19</v>
      </c>
      <c r="B24" s="251" t="s">
        <v>15</v>
      </c>
      <c r="C24" s="252">
        <v>0.039</v>
      </c>
      <c r="D24" s="254">
        <v>41417</v>
      </c>
      <c r="E24" s="255">
        <v>47908</v>
      </c>
      <c r="F24" s="256">
        <v>98.9391</v>
      </c>
      <c r="G24" s="84">
        <v>0.0398</v>
      </c>
      <c r="H24" s="85">
        <v>5510708</v>
      </c>
      <c r="I24" s="257">
        <v>138460000</v>
      </c>
      <c r="J24" s="85"/>
      <c r="K24" s="185"/>
    </row>
    <row r="25" spans="1:11" ht="12.75">
      <c r="A25" s="76">
        <v>20</v>
      </c>
      <c r="B25" s="251" t="s">
        <v>15</v>
      </c>
      <c r="C25" s="252">
        <v>0.04</v>
      </c>
      <c r="D25" s="254">
        <v>41417</v>
      </c>
      <c r="E25" s="255">
        <v>47908</v>
      </c>
      <c r="F25" s="256">
        <v>98.9391</v>
      </c>
      <c r="G25" s="84">
        <v>0.0408</v>
      </c>
      <c r="H25" s="85">
        <v>954720.0000000001</v>
      </c>
      <c r="I25" s="257">
        <v>23400000</v>
      </c>
      <c r="J25" s="85"/>
      <c r="K25" s="185"/>
    </row>
    <row r="26" spans="1:11" ht="12.75">
      <c r="A26" s="76">
        <v>21</v>
      </c>
      <c r="B26" s="250" t="s">
        <v>41</v>
      </c>
      <c r="C26" s="252">
        <v>0.043</v>
      </c>
      <c r="D26" s="253">
        <v>42150</v>
      </c>
      <c r="E26" s="253">
        <v>53102</v>
      </c>
      <c r="F26" s="256">
        <v>98.48301976235294</v>
      </c>
      <c r="G26" s="84">
        <v>0.0439</v>
      </c>
      <c r="H26" s="85">
        <v>18657500</v>
      </c>
      <c r="I26" s="257">
        <v>425000000</v>
      </c>
      <c r="J26" s="85"/>
      <c r="K26" s="185"/>
    </row>
    <row r="27" spans="1:11" ht="12.75">
      <c r="A27" s="76">
        <v>22</v>
      </c>
      <c r="B27" s="250" t="s">
        <v>41</v>
      </c>
      <c r="C27" s="252">
        <v>0.04223</v>
      </c>
      <c r="D27" s="253">
        <v>43265</v>
      </c>
      <c r="E27" s="253">
        <v>54224</v>
      </c>
      <c r="F27" s="256">
        <v>98.8868</v>
      </c>
      <c r="G27" s="84">
        <v>0.0429</v>
      </c>
      <c r="H27" s="85">
        <v>25740000</v>
      </c>
      <c r="I27" s="257">
        <v>600000000</v>
      </c>
      <c r="J27" s="85"/>
      <c r="K27" s="185"/>
    </row>
    <row r="28" spans="1:11" ht="12.75">
      <c r="A28" s="76">
        <v>23</v>
      </c>
      <c r="B28" s="250" t="s">
        <v>41</v>
      </c>
      <c r="C28" s="252">
        <v>0.0325</v>
      </c>
      <c r="D28" s="253">
        <v>43707</v>
      </c>
      <c r="E28" s="253">
        <v>54681</v>
      </c>
      <c r="F28" s="298">
        <v>98.83</v>
      </c>
      <c r="G28" s="243">
        <v>0.0331</v>
      </c>
      <c r="H28" s="299">
        <v>14894999.999999998</v>
      </c>
      <c r="I28" s="257">
        <v>450000000</v>
      </c>
      <c r="J28" s="187"/>
      <c r="K28" s="185"/>
    </row>
    <row r="29" spans="1:11" ht="12.75">
      <c r="A29" s="76">
        <v>24</v>
      </c>
      <c r="B29" s="262" t="s">
        <v>41</v>
      </c>
      <c r="C29" s="263">
        <v>0.02893</v>
      </c>
      <c r="D29" s="264">
        <v>44454</v>
      </c>
      <c r="E29" s="264">
        <v>55411</v>
      </c>
      <c r="F29" s="298">
        <v>98.84</v>
      </c>
      <c r="G29" s="243">
        <v>0.0295</v>
      </c>
      <c r="H29" s="85">
        <v>13275000</v>
      </c>
      <c r="I29" s="257">
        <v>450000000</v>
      </c>
      <c r="J29" s="187"/>
      <c r="K29" s="185"/>
    </row>
    <row r="30" spans="1:11" ht="12.75">
      <c r="A30" s="76">
        <v>25</v>
      </c>
      <c r="B30" s="286" t="s">
        <v>152</v>
      </c>
      <c r="C30" s="302" t="s">
        <v>152</v>
      </c>
      <c r="D30" s="303" t="s">
        <v>152</v>
      </c>
      <c r="E30" s="303" t="s">
        <v>152</v>
      </c>
      <c r="F30" s="304" t="s">
        <v>152</v>
      </c>
      <c r="G30" s="287" t="s">
        <v>152</v>
      </c>
      <c r="H30" s="288" t="s">
        <v>152</v>
      </c>
      <c r="I30" s="305" t="s">
        <v>153</v>
      </c>
      <c r="J30" s="187"/>
      <c r="K30" s="185"/>
    </row>
    <row r="31" spans="1:11" ht="12.75">
      <c r="A31" s="76">
        <v>26</v>
      </c>
      <c r="B31" s="289" t="s">
        <v>152</v>
      </c>
      <c r="C31" s="290" t="s">
        <v>152</v>
      </c>
      <c r="D31" s="307" t="s">
        <v>152</v>
      </c>
      <c r="E31" s="307" t="s">
        <v>152</v>
      </c>
      <c r="F31" s="306" t="s">
        <v>155</v>
      </c>
      <c r="G31" s="291" t="s">
        <v>152</v>
      </c>
      <c r="H31" s="292" t="s">
        <v>154</v>
      </c>
      <c r="I31" s="293" t="s">
        <v>153</v>
      </c>
      <c r="J31" s="187"/>
      <c r="K31" s="185"/>
    </row>
    <row r="32" spans="1:11" ht="12.75">
      <c r="A32" s="76">
        <v>27</v>
      </c>
      <c r="B32" s="250"/>
      <c r="C32" s="252"/>
      <c r="D32" s="253"/>
      <c r="E32" s="253"/>
      <c r="F32" s="243"/>
      <c r="G32" s="243"/>
      <c r="H32" s="86"/>
      <c r="I32" s="85"/>
      <c r="J32" s="187"/>
      <c r="K32" s="185"/>
    </row>
    <row r="33" spans="1:11" ht="12.75">
      <c r="A33" s="76">
        <v>28</v>
      </c>
      <c r="B33" s="87" t="s">
        <v>146</v>
      </c>
      <c r="C33" s="85"/>
      <c r="D33" s="88"/>
      <c r="E33" s="83"/>
      <c r="F33" s="83"/>
      <c r="G33" s="89"/>
      <c r="H33" s="90"/>
      <c r="I33" s="294" t="s">
        <v>156</v>
      </c>
      <c r="K33" s="185"/>
    </row>
    <row r="34" spans="1:10" ht="12.75">
      <c r="A34" s="76">
        <v>29</v>
      </c>
      <c r="B34" s="91"/>
      <c r="C34" s="85"/>
      <c r="D34" s="88"/>
      <c r="E34" s="83"/>
      <c r="F34" s="258"/>
      <c r="G34" s="89"/>
      <c r="H34" s="92"/>
      <c r="I34" s="86"/>
      <c r="J34" s="85"/>
    </row>
    <row r="35" spans="1:9" ht="13.5" thickBot="1">
      <c r="A35" s="76">
        <v>30</v>
      </c>
      <c r="B35" s="94" t="s">
        <v>139</v>
      </c>
      <c r="C35" s="95"/>
      <c r="D35" s="88"/>
      <c r="E35" s="83"/>
      <c r="F35" s="90"/>
      <c r="G35" s="96">
        <v>0.05068414681401801</v>
      </c>
      <c r="H35" s="300">
        <v>261599128</v>
      </c>
      <c r="I35" s="97">
        <v>5161360000</v>
      </c>
    </row>
    <row r="36" spans="1:9" ht="13.5" thickTop="1">
      <c r="A36" s="76">
        <v>31</v>
      </c>
      <c r="B36" s="95"/>
      <c r="C36" s="95"/>
      <c r="D36" s="88"/>
      <c r="E36" s="83"/>
      <c r="F36" s="90"/>
      <c r="G36" s="98"/>
      <c r="H36" s="98"/>
      <c r="I36" s="90"/>
    </row>
    <row r="37" spans="1:9" ht="12.75">
      <c r="A37" s="76">
        <v>32</v>
      </c>
      <c r="B37" s="99" t="s">
        <v>105</v>
      </c>
      <c r="C37" s="99"/>
      <c r="D37" s="88"/>
      <c r="E37" s="83"/>
      <c r="F37" s="90"/>
      <c r="G37" s="100">
        <v>0.0236</v>
      </c>
      <c r="H37" s="86">
        <v>6126520.693696838</v>
      </c>
      <c r="I37" s="233">
        <v>259303134.00000006</v>
      </c>
    </row>
    <row r="38" spans="1:9" ht="13.5" thickBot="1">
      <c r="A38" s="76">
        <v>33</v>
      </c>
      <c r="B38" s="101" t="s">
        <v>106</v>
      </c>
      <c r="C38" s="101"/>
      <c r="D38" s="88"/>
      <c r="E38" s="83"/>
      <c r="F38" s="80" t="s">
        <v>134</v>
      </c>
      <c r="G38" s="102">
        <v>0.0494</v>
      </c>
      <c r="H38" s="300">
        <v>267725648.69369683</v>
      </c>
      <c r="I38" s="97">
        <v>5420663134</v>
      </c>
    </row>
    <row r="39" spans="1:10" ht="13.5" thickTop="1">
      <c r="A39" s="76">
        <v>34</v>
      </c>
      <c r="B39" s="101"/>
      <c r="C39" s="101"/>
      <c r="D39" s="88"/>
      <c r="E39" s="83"/>
      <c r="F39" s="83"/>
      <c r="G39" s="90"/>
      <c r="H39" s="103"/>
      <c r="I39" s="104"/>
      <c r="J39" s="105"/>
    </row>
    <row r="40" spans="1:10" ht="12.75">
      <c r="A40" s="76">
        <v>35</v>
      </c>
      <c r="B40" s="101" t="s">
        <v>116</v>
      </c>
      <c r="C40" s="101"/>
      <c r="D40" s="88"/>
      <c r="E40" s="83"/>
      <c r="F40" s="83"/>
      <c r="H40" s="106">
        <v>5161360000</v>
      </c>
      <c r="I40" s="104"/>
      <c r="J40" s="105"/>
    </row>
    <row r="41" spans="1:10" ht="12.75">
      <c r="A41" s="76">
        <v>36</v>
      </c>
      <c r="B41" s="101" t="s">
        <v>115</v>
      </c>
      <c r="C41" s="101"/>
      <c r="D41" s="88"/>
      <c r="E41" s="83"/>
      <c r="F41" s="83"/>
      <c r="H41" s="234">
        <v>0.48084279276669034</v>
      </c>
      <c r="I41" s="104"/>
      <c r="J41" s="105"/>
    </row>
    <row r="42" spans="1:10" ht="12.75">
      <c r="A42" s="76">
        <v>37</v>
      </c>
      <c r="B42" s="101" t="s">
        <v>117</v>
      </c>
      <c r="C42" s="101"/>
      <c r="D42" s="88"/>
      <c r="E42" s="83"/>
      <c r="F42" s="83"/>
      <c r="H42" s="235">
        <v>10733986403.960396</v>
      </c>
      <c r="I42" s="104"/>
      <c r="J42" s="105"/>
    </row>
    <row r="43" spans="1:10" ht="12.75">
      <c r="A43" s="76">
        <v>38</v>
      </c>
      <c r="B43" s="101"/>
      <c r="C43" s="101"/>
      <c r="D43" s="88"/>
      <c r="E43" s="83"/>
      <c r="F43" s="83"/>
      <c r="G43" s="90"/>
      <c r="H43" s="103"/>
      <c r="I43" s="104"/>
      <c r="J43" s="105"/>
    </row>
    <row r="44" spans="1:9" ht="12.75">
      <c r="A44" s="76">
        <v>39</v>
      </c>
      <c r="B44" s="107" t="s">
        <v>127</v>
      </c>
      <c r="C44" s="108"/>
      <c r="D44" s="109"/>
      <c r="E44" s="109"/>
      <c r="F44" s="109"/>
      <c r="G44" s="109"/>
      <c r="H44" s="109"/>
      <c r="I44" s="109"/>
    </row>
    <row r="45" spans="1:9" ht="12.75">
      <c r="A45" s="76">
        <v>40</v>
      </c>
      <c r="B45" s="107" t="s">
        <v>128</v>
      </c>
      <c r="C45" s="108"/>
      <c r="D45" s="109"/>
      <c r="E45" s="109"/>
      <c r="F45" s="109"/>
      <c r="G45" s="109"/>
      <c r="H45" s="110"/>
      <c r="I45" s="109"/>
    </row>
    <row r="46" spans="1:9" ht="27.75" customHeight="1">
      <c r="A46" s="76">
        <v>41</v>
      </c>
      <c r="B46" s="324" t="s">
        <v>133</v>
      </c>
      <c r="C46" s="324"/>
      <c r="D46" s="324"/>
      <c r="E46" s="324"/>
      <c r="F46" s="324"/>
      <c r="G46" s="324"/>
      <c r="H46" s="324"/>
      <c r="I46" s="324"/>
    </row>
    <row r="47" spans="1:39" ht="12.75">
      <c r="A47" s="240"/>
      <c r="B47" s="241"/>
      <c r="C47" s="241"/>
      <c r="D47" s="241"/>
      <c r="E47" s="241"/>
      <c r="F47" s="242"/>
      <c r="G47" s="39"/>
      <c r="H47" s="241"/>
      <c r="I47" s="242"/>
      <c r="J47" s="85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</row>
    <row r="48" spans="1:10" ht="12.75">
      <c r="A48" s="18"/>
      <c r="B48" s="40"/>
      <c r="C48" s="40"/>
      <c r="D48" s="40"/>
      <c r="E48" s="40"/>
      <c r="F48" s="40"/>
      <c r="G48" s="39"/>
      <c r="H48" s="40"/>
      <c r="I48" s="109"/>
      <c r="J48" s="91"/>
    </row>
    <row r="49" spans="1:10" ht="12.75">
      <c r="A49" s="18"/>
      <c r="B49" s="40"/>
      <c r="C49" s="40"/>
      <c r="D49" s="40"/>
      <c r="E49" s="40"/>
      <c r="F49" s="40"/>
      <c r="G49" s="38"/>
      <c r="H49" s="40"/>
      <c r="I49" s="33"/>
      <c r="J49" s="93"/>
    </row>
    <row r="50" spans="1:10" ht="12.75">
      <c r="A50" s="18"/>
      <c r="B50" s="13"/>
      <c r="C50" s="13"/>
      <c r="D50" s="13"/>
      <c r="E50" s="13"/>
      <c r="F50" s="13"/>
      <c r="G50" s="39"/>
      <c r="H50" s="13"/>
      <c r="I50" s="13"/>
      <c r="J50" s="18" t="s">
        <v>151</v>
      </c>
    </row>
    <row r="51" spans="1:9" ht="12.75">
      <c r="A51" s="18"/>
      <c r="B51" s="13"/>
      <c r="C51" s="13"/>
      <c r="D51" s="13"/>
      <c r="E51" s="13"/>
      <c r="F51" s="13"/>
      <c r="G51" s="19"/>
      <c r="H51" s="13"/>
      <c r="I51" s="92"/>
    </row>
    <row r="52" spans="1:9" ht="12.75">
      <c r="A52" s="20"/>
      <c r="B52" s="21"/>
      <c r="C52" s="21"/>
      <c r="D52" s="22"/>
      <c r="E52" s="23"/>
      <c r="F52" s="23"/>
      <c r="G52" s="111"/>
      <c r="H52" s="25"/>
      <c r="I52" s="92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>
      <c r="A54" s="20"/>
      <c r="B54" s="21"/>
      <c r="C54" s="21"/>
      <c r="D54" s="22"/>
      <c r="E54" s="23"/>
      <c r="F54" s="23"/>
      <c r="G54" s="24"/>
      <c r="H54" s="25"/>
      <c r="I54" s="26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9" ht="12.75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0"/>
      <c r="B59" s="21"/>
      <c r="C59" s="21"/>
      <c r="D59" s="22"/>
      <c r="E59" s="23"/>
      <c r="F59" s="23"/>
      <c r="G59" s="24"/>
      <c r="H59" s="25"/>
      <c r="I59" s="26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27"/>
      <c r="B68" s="13"/>
      <c r="C68" s="13"/>
      <c r="D68" s="13"/>
      <c r="E68" s="13"/>
      <c r="F68" s="13"/>
      <c r="G68" s="19"/>
      <c r="H68" s="13"/>
      <c r="I68" s="13"/>
    </row>
    <row r="69" spans="1:9" ht="12.75">
      <c r="A69" s="18"/>
      <c r="B69" s="13"/>
      <c r="C69" s="13"/>
      <c r="D69" s="21"/>
      <c r="E69" s="13"/>
      <c r="F69" s="13"/>
      <c r="G69" s="19"/>
      <c r="H69" s="13"/>
      <c r="I69" s="13"/>
    </row>
    <row r="70" spans="4:6" ht="12.75">
      <c r="D70" s="9"/>
      <c r="F70" s="15"/>
    </row>
    <row r="71" ht="12.75">
      <c r="D71" s="14"/>
    </row>
  </sheetData>
  <sheetProtection/>
  <mergeCells count="5">
    <mergeCell ref="G9:G10"/>
    <mergeCell ref="H9:H10"/>
    <mergeCell ref="F7:F10"/>
    <mergeCell ref="I7:I10"/>
    <mergeCell ref="B46:I46"/>
  </mergeCells>
  <printOptions horizontalCentered="1"/>
  <pageMargins left="0.2" right="0.2" top="0.41" bottom="0.35" header="0.17" footer="0.17"/>
  <pageSetup fitToHeight="1" fitToWidth="1" horizontalDpi="600" verticalDpi="600" orientation="landscape" scale="95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view="pageLayout" zoomScaleSheetLayoutView="100" workbookViewId="0" topLeftCell="A16">
      <selection activeCell="N68" sqref="N68"/>
    </sheetView>
  </sheetViews>
  <sheetFormatPr defaultColWidth="10.5" defaultRowHeight="11.25"/>
  <cols>
    <col min="1" max="1" width="4.5" style="113" customWidth="1"/>
    <col min="2" max="2" width="39.16015625" style="113" customWidth="1"/>
    <col min="3" max="3" width="13.5" style="113" customWidth="1"/>
    <col min="4" max="15" width="13.66015625" style="113" customWidth="1"/>
    <col min="16" max="16" width="16.66015625" style="113" customWidth="1"/>
    <col min="17" max="17" width="2" style="113" customWidth="1"/>
    <col min="18" max="18" width="8" style="113" bestFit="1" customWidth="1"/>
    <col min="19" max="16384" width="10.5" style="113" customWidth="1"/>
  </cols>
  <sheetData>
    <row r="1" spans="1:16" ht="12.75">
      <c r="A1" s="112"/>
      <c r="B1" s="72" t="s">
        <v>69</v>
      </c>
      <c r="C1" s="73"/>
      <c r="D1" s="73"/>
      <c r="E1" s="73"/>
      <c r="F1" s="73"/>
      <c r="G1" s="72"/>
      <c r="H1" s="73"/>
      <c r="I1" s="73"/>
      <c r="J1" s="72"/>
      <c r="K1" s="72"/>
      <c r="L1" s="73"/>
      <c r="M1" s="73"/>
      <c r="N1" s="73"/>
      <c r="O1" s="73"/>
      <c r="P1" s="72"/>
    </row>
    <row r="2" spans="1:16" ht="12.75">
      <c r="A2" s="112"/>
      <c r="B2" s="72" t="s">
        <v>70</v>
      </c>
      <c r="C2" s="73"/>
      <c r="D2" s="73"/>
      <c r="E2" s="73"/>
      <c r="F2" s="73"/>
      <c r="G2" s="72"/>
      <c r="H2" s="73"/>
      <c r="I2" s="73"/>
      <c r="J2" s="72"/>
      <c r="K2" s="72"/>
      <c r="L2" s="73"/>
      <c r="M2" s="73"/>
      <c r="N2" s="73"/>
      <c r="O2" s="73"/>
      <c r="P2" s="72"/>
    </row>
    <row r="3" spans="1:16" ht="13.5" customHeight="1">
      <c r="A3" s="112"/>
      <c r="B3" s="72" t="str">
        <f>'2 - Cost of Total Debt (R)'!$B$3</f>
        <v>For The 12 Months Ended December 31, 2024</v>
      </c>
      <c r="C3" s="73"/>
      <c r="D3" s="73"/>
      <c r="E3" s="73"/>
      <c r="F3" s="73"/>
      <c r="G3" s="72"/>
      <c r="H3" s="73"/>
      <c r="I3" s="73"/>
      <c r="J3" s="72"/>
      <c r="K3" s="72"/>
      <c r="L3" s="73"/>
      <c r="M3" s="73"/>
      <c r="N3" s="73"/>
      <c r="O3" s="73"/>
      <c r="P3" s="72"/>
    </row>
    <row r="4" spans="1:16" ht="12.75">
      <c r="A4" s="112"/>
      <c r="B4" s="114"/>
      <c r="C4" s="114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2">
      <c r="A5" s="115">
        <v>1</v>
      </c>
      <c r="B5" s="116" t="s">
        <v>1</v>
      </c>
      <c r="C5" s="116" t="s">
        <v>17</v>
      </c>
      <c r="D5" s="116" t="s">
        <v>24</v>
      </c>
      <c r="E5" s="116" t="s">
        <v>26</v>
      </c>
      <c r="F5" s="116" t="s">
        <v>27</v>
      </c>
      <c r="G5" s="116" t="s">
        <v>28</v>
      </c>
      <c r="H5" s="116" t="s">
        <v>29</v>
      </c>
      <c r="I5" s="116" t="s">
        <v>30</v>
      </c>
      <c r="J5" s="116" t="s">
        <v>31</v>
      </c>
      <c r="K5" s="116" t="s">
        <v>33</v>
      </c>
      <c r="L5" s="116" t="s">
        <v>34</v>
      </c>
      <c r="M5" s="116" t="s">
        <v>35</v>
      </c>
      <c r="N5" s="116" t="s">
        <v>36</v>
      </c>
      <c r="O5" s="116" t="s">
        <v>37</v>
      </c>
      <c r="P5" s="116" t="s">
        <v>38</v>
      </c>
    </row>
    <row r="6" spans="1:16" ht="12">
      <c r="A6" s="115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</row>
    <row r="7" spans="1:16" ht="12" customHeight="1">
      <c r="A7" s="115">
        <f>A5+1</f>
        <v>2</v>
      </c>
      <c r="B7" s="112"/>
      <c r="C7" s="117">
        <v>45291</v>
      </c>
      <c r="D7" s="117">
        <v>45322</v>
      </c>
      <c r="E7" s="117">
        <v>45351</v>
      </c>
      <c r="F7" s="117">
        <v>45382</v>
      </c>
      <c r="G7" s="117">
        <v>45412</v>
      </c>
      <c r="H7" s="117">
        <v>45443</v>
      </c>
      <c r="I7" s="117">
        <v>45473</v>
      </c>
      <c r="J7" s="117">
        <v>45504</v>
      </c>
      <c r="K7" s="117">
        <v>45535</v>
      </c>
      <c r="L7" s="117">
        <v>45565</v>
      </c>
      <c r="M7" s="117">
        <v>45596</v>
      </c>
      <c r="N7" s="117">
        <v>45626</v>
      </c>
      <c r="O7" s="117">
        <v>45657</v>
      </c>
      <c r="P7" s="118" t="s">
        <v>142</v>
      </c>
    </row>
    <row r="8" spans="1:16" ht="12">
      <c r="A8" s="115">
        <f>A7+1</f>
        <v>3</v>
      </c>
      <c r="B8" s="119" t="s">
        <v>140</v>
      </c>
      <c r="C8" s="120">
        <v>269517.72</v>
      </c>
      <c r="D8" s="121">
        <v>259303.134</v>
      </c>
      <c r="E8" s="121">
        <v>259303.134</v>
      </c>
      <c r="F8" s="121">
        <v>259303.134</v>
      </c>
      <c r="G8" s="121">
        <v>259303.134</v>
      </c>
      <c r="H8" s="121">
        <v>259303.134</v>
      </c>
      <c r="I8" s="121">
        <v>259303.134</v>
      </c>
      <c r="J8" s="121">
        <v>259303.134</v>
      </c>
      <c r="K8" s="121">
        <v>259303.134</v>
      </c>
      <c r="L8" s="121">
        <v>259303.134</v>
      </c>
      <c r="M8" s="121">
        <v>259303.134</v>
      </c>
      <c r="N8" s="121">
        <v>259303.134</v>
      </c>
      <c r="O8" s="121">
        <v>259303.134</v>
      </c>
      <c r="P8" s="122">
        <f>AVERAGE(D8:O8)</f>
        <v>259303.13400000005</v>
      </c>
    </row>
    <row r="9" spans="1:16" ht="5.25" customHeight="1">
      <c r="A9" s="115"/>
      <c r="B9" s="123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12">
      <c r="A10" s="115">
        <f>A8+1</f>
        <v>4</v>
      </c>
      <c r="B10" s="119" t="s">
        <v>71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1"/>
    </row>
    <row r="11" spans="1:16" ht="12">
      <c r="A11" s="115">
        <f>A10+1</f>
        <v>5</v>
      </c>
      <c r="B11" s="123" t="s">
        <v>72</v>
      </c>
      <c r="C11" s="120">
        <f>MIN(0.5*C8,125000)</f>
        <v>125000</v>
      </c>
      <c r="D11" s="120">
        <f>+C11</f>
        <v>125000</v>
      </c>
      <c r="E11" s="120">
        <f aca="true" t="shared" si="0" ref="E11:O11">+D11</f>
        <v>125000</v>
      </c>
      <c r="F11" s="120">
        <f t="shared" si="0"/>
        <v>125000</v>
      </c>
      <c r="G11" s="120">
        <f t="shared" si="0"/>
        <v>125000</v>
      </c>
      <c r="H11" s="120">
        <f t="shared" si="0"/>
        <v>125000</v>
      </c>
      <c r="I11" s="120">
        <f t="shared" si="0"/>
        <v>125000</v>
      </c>
      <c r="J11" s="120">
        <f t="shared" si="0"/>
        <v>125000</v>
      </c>
      <c r="K11" s="120">
        <f t="shared" si="0"/>
        <v>125000</v>
      </c>
      <c r="L11" s="120">
        <f t="shared" si="0"/>
        <v>125000</v>
      </c>
      <c r="M11" s="120">
        <f t="shared" si="0"/>
        <v>125000</v>
      </c>
      <c r="N11" s="120">
        <f t="shared" si="0"/>
        <v>125000</v>
      </c>
      <c r="O11" s="120">
        <f t="shared" si="0"/>
        <v>125000</v>
      </c>
      <c r="P11" s="122">
        <f>AVERAGE(D11:O11)</f>
        <v>125000</v>
      </c>
    </row>
    <row r="12" spans="1:16" ht="12">
      <c r="A12" s="115">
        <f>A11+1</f>
        <v>6</v>
      </c>
      <c r="B12" s="123" t="s">
        <v>73</v>
      </c>
      <c r="C12" s="125">
        <f>+C8-C11</f>
        <v>144517.71999999997</v>
      </c>
      <c r="D12" s="125">
        <f aca="true" t="shared" si="1" ref="D12:O12">D8-D11</f>
        <v>134303.134</v>
      </c>
      <c r="E12" s="125">
        <f t="shared" si="1"/>
        <v>134303.134</v>
      </c>
      <c r="F12" s="125">
        <f t="shared" si="1"/>
        <v>134303.134</v>
      </c>
      <c r="G12" s="125">
        <f t="shared" si="1"/>
        <v>134303.134</v>
      </c>
      <c r="H12" s="125">
        <f t="shared" si="1"/>
        <v>134303.134</v>
      </c>
      <c r="I12" s="125">
        <f t="shared" si="1"/>
        <v>134303.134</v>
      </c>
      <c r="J12" s="125">
        <f t="shared" si="1"/>
        <v>134303.134</v>
      </c>
      <c r="K12" s="125">
        <f t="shared" si="1"/>
        <v>134303.134</v>
      </c>
      <c r="L12" s="125">
        <f t="shared" si="1"/>
        <v>134303.134</v>
      </c>
      <c r="M12" s="125">
        <f t="shared" si="1"/>
        <v>134303.134</v>
      </c>
      <c r="N12" s="125">
        <f t="shared" si="1"/>
        <v>134303.134</v>
      </c>
      <c r="O12" s="125">
        <f t="shared" si="1"/>
        <v>134303.134</v>
      </c>
      <c r="P12" s="122">
        <f>ROUND(((C12+O12)+(SUM(D12:N12)*2))/24,3)</f>
        <v>134728.742</v>
      </c>
    </row>
    <row r="13" spans="1:16" ht="12">
      <c r="A13" s="115">
        <f>A12+1</f>
        <v>7</v>
      </c>
      <c r="B13" s="126" t="s">
        <v>74</v>
      </c>
      <c r="C13" s="127">
        <f aca="true" t="shared" si="2" ref="C13:O13">SUM(C11:C12)</f>
        <v>269517.72</v>
      </c>
      <c r="D13" s="127">
        <f t="shared" si="2"/>
        <v>259303.134</v>
      </c>
      <c r="E13" s="127">
        <f t="shared" si="2"/>
        <v>259303.134</v>
      </c>
      <c r="F13" s="127">
        <f t="shared" si="2"/>
        <v>259303.134</v>
      </c>
      <c r="G13" s="127">
        <f t="shared" si="2"/>
        <v>259303.134</v>
      </c>
      <c r="H13" s="127">
        <f t="shared" si="2"/>
        <v>259303.134</v>
      </c>
      <c r="I13" s="127">
        <f t="shared" si="2"/>
        <v>259303.134</v>
      </c>
      <c r="J13" s="127">
        <f t="shared" si="2"/>
        <v>259303.134</v>
      </c>
      <c r="K13" s="127">
        <f t="shared" si="2"/>
        <v>259303.134</v>
      </c>
      <c r="L13" s="127">
        <f t="shared" si="2"/>
        <v>259303.134</v>
      </c>
      <c r="M13" s="127">
        <f t="shared" si="2"/>
        <v>259303.134</v>
      </c>
      <c r="N13" s="127">
        <f t="shared" si="2"/>
        <v>259303.134</v>
      </c>
      <c r="O13" s="127">
        <f t="shared" si="2"/>
        <v>259303.134</v>
      </c>
      <c r="P13" s="128">
        <f>AVERAGE(D13:O13)</f>
        <v>259303.13400000005</v>
      </c>
    </row>
    <row r="14" spans="1:16" ht="5.25" customHeight="1">
      <c r="A14" s="115"/>
      <c r="B14" s="123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3.5" customHeight="1">
      <c r="A15" s="115">
        <f>A13+1</f>
        <v>8</v>
      </c>
      <c r="B15" s="119" t="s">
        <v>63</v>
      </c>
      <c r="M15" s="129"/>
      <c r="N15" s="130"/>
      <c r="O15" s="131"/>
      <c r="P15" s="132"/>
    </row>
    <row r="16" spans="1:16" ht="12">
      <c r="A16" s="115">
        <f>A15+1</f>
        <v>9</v>
      </c>
      <c r="B16" s="123" t="s">
        <v>141</v>
      </c>
      <c r="C16" s="237">
        <v>0.011335966482152036</v>
      </c>
      <c r="D16" s="237">
        <v>0.012104443933433597</v>
      </c>
      <c r="E16" s="237">
        <v>0.012823388073111659</v>
      </c>
      <c r="F16" s="237">
        <v>0.013521776095994057</v>
      </c>
      <c r="G16" s="237">
        <v>0.01423911709462603</v>
      </c>
      <c r="H16" s="237">
        <v>0.015000256616697316</v>
      </c>
      <c r="I16" s="237">
        <v>0.015820400919454792</v>
      </c>
      <c r="J16" s="237">
        <v>0.016652537741277725</v>
      </c>
      <c r="K16" s="237">
        <v>0.01744081705508213</v>
      </c>
      <c r="L16" s="237">
        <v>0.018126632160817585</v>
      </c>
      <c r="M16" s="237">
        <v>0.018793709166648406</v>
      </c>
      <c r="N16" s="237">
        <v>0.01954460532016431</v>
      </c>
      <c r="O16" s="237">
        <v>0.020436894048245682</v>
      </c>
      <c r="P16" s="121"/>
    </row>
    <row r="17" spans="1:18" ht="12">
      <c r="A17" s="115">
        <f>A16+1</f>
        <v>10</v>
      </c>
      <c r="B17" s="123" t="s">
        <v>75</v>
      </c>
      <c r="C17" s="133">
        <f>0.2%-0.09525%</f>
        <v>0.0010475</v>
      </c>
      <c r="D17" s="133">
        <f>C17</f>
        <v>0.0010475</v>
      </c>
      <c r="E17" s="133">
        <f aca="true" t="shared" si="3" ref="E17:O18">D17</f>
        <v>0.0010475</v>
      </c>
      <c r="F17" s="133">
        <f t="shared" si="3"/>
        <v>0.0010475</v>
      </c>
      <c r="G17" s="133">
        <f t="shared" si="3"/>
        <v>0.0010475</v>
      </c>
      <c r="H17" s="133">
        <f t="shared" si="3"/>
        <v>0.0010475</v>
      </c>
      <c r="I17" s="133">
        <f t="shared" si="3"/>
        <v>0.0010475</v>
      </c>
      <c r="J17" s="133">
        <f t="shared" si="3"/>
        <v>0.0010475</v>
      </c>
      <c r="K17" s="133">
        <f t="shared" si="3"/>
        <v>0.0010475</v>
      </c>
      <c r="L17" s="133">
        <f t="shared" si="3"/>
        <v>0.0010475</v>
      </c>
      <c r="M17" s="133">
        <f t="shared" si="3"/>
        <v>0.0010475</v>
      </c>
      <c r="N17" s="133">
        <f t="shared" si="3"/>
        <v>0.0010475</v>
      </c>
      <c r="O17" s="133">
        <f t="shared" si="3"/>
        <v>0.0010475</v>
      </c>
      <c r="P17" s="121"/>
      <c r="R17" s="261"/>
    </row>
    <row r="18" spans="1:16" ht="12">
      <c r="A18" s="115">
        <f>A17+1</f>
        <v>11</v>
      </c>
      <c r="B18" s="123" t="s">
        <v>76</v>
      </c>
      <c r="C18" s="133">
        <v>0.0125</v>
      </c>
      <c r="D18" s="133">
        <f>C18</f>
        <v>0.0125</v>
      </c>
      <c r="E18" s="133">
        <f t="shared" si="3"/>
        <v>0.0125</v>
      </c>
      <c r="F18" s="133">
        <f t="shared" si="3"/>
        <v>0.0125</v>
      </c>
      <c r="G18" s="133">
        <f t="shared" si="3"/>
        <v>0.0125</v>
      </c>
      <c r="H18" s="133">
        <f t="shared" si="3"/>
        <v>0.0125</v>
      </c>
      <c r="I18" s="133">
        <f t="shared" si="3"/>
        <v>0.0125</v>
      </c>
      <c r="J18" s="133">
        <f t="shared" si="3"/>
        <v>0.0125</v>
      </c>
      <c r="K18" s="133">
        <f t="shared" si="3"/>
        <v>0.0125</v>
      </c>
      <c r="L18" s="133">
        <f t="shared" si="3"/>
        <v>0.0125</v>
      </c>
      <c r="M18" s="133">
        <f t="shared" si="3"/>
        <v>0.0125</v>
      </c>
      <c r="N18" s="133">
        <f t="shared" si="3"/>
        <v>0.0125</v>
      </c>
      <c r="O18" s="133">
        <f t="shared" si="3"/>
        <v>0.0125</v>
      </c>
      <c r="P18" s="121"/>
    </row>
    <row r="19" spans="1:16" ht="6" customHeight="1">
      <c r="A19" s="115"/>
      <c r="B19" s="12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21"/>
    </row>
    <row r="20" spans="1:16" ht="12" customHeight="1">
      <c r="A20" s="115">
        <f>A18+1</f>
        <v>12</v>
      </c>
      <c r="B20" s="119" t="s">
        <v>77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21"/>
    </row>
    <row r="21" spans="1:16" ht="12">
      <c r="A21" s="115">
        <f>A20+1</f>
        <v>13</v>
      </c>
      <c r="B21" s="135" t="s">
        <v>78</v>
      </c>
      <c r="C21" s="136">
        <f>C16+C17</f>
        <v>0.012383466482152036</v>
      </c>
      <c r="D21" s="136">
        <f aca="true" t="shared" si="4" ref="D21:O21">D16+D17</f>
        <v>0.013151943933433597</v>
      </c>
      <c r="E21" s="136">
        <f t="shared" si="4"/>
        <v>0.013870888073111659</v>
      </c>
      <c r="F21" s="136">
        <f t="shared" si="4"/>
        <v>0.014569276095994057</v>
      </c>
      <c r="G21" s="136">
        <f t="shared" si="4"/>
        <v>0.01528661709462603</v>
      </c>
      <c r="H21" s="136">
        <f t="shared" si="4"/>
        <v>0.016047756616697318</v>
      </c>
      <c r="I21" s="136">
        <f t="shared" si="4"/>
        <v>0.01686790091945479</v>
      </c>
      <c r="J21" s="136">
        <f t="shared" si="4"/>
        <v>0.017700037741277725</v>
      </c>
      <c r="K21" s="136">
        <f t="shared" si="4"/>
        <v>0.01848831705508213</v>
      </c>
      <c r="L21" s="136">
        <f t="shared" si="4"/>
        <v>0.019174132160817585</v>
      </c>
      <c r="M21" s="136">
        <f t="shared" si="4"/>
        <v>0.019841209166648405</v>
      </c>
      <c r="N21" s="136">
        <f t="shared" si="4"/>
        <v>0.02059210532016431</v>
      </c>
      <c r="O21" s="136">
        <f t="shared" si="4"/>
        <v>0.021484394048245682</v>
      </c>
      <c r="P21" s="121"/>
    </row>
    <row r="22" spans="1:16" ht="12">
      <c r="A22" s="115">
        <f>A21+1</f>
        <v>14</v>
      </c>
      <c r="B22" s="135" t="s">
        <v>73</v>
      </c>
      <c r="C22" s="136">
        <f>C16+C18</f>
        <v>0.023835966482152037</v>
      </c>
      <c r="D22" s="136">
        <f aca="true" t="shared" si="5" ref="D22:O22">D16+D18</f>
        <v>0.024604443933433598</v>
      </c>
      <c r="E22" s="136">
        <f t="shared" si="5"/>
        <v>0.025323388073111658</v>
      </c>
      <c r="F22" s="136">
        <f t="shared" si="5"/>
        <v>0.026021776095994056</v>
      </c>
      <c r="G22" s="136">
        <f t="shared" si="5"/>
        <v>0.02673911709462603</v>
      </c>
      <c r="H22" s="136">
        <f t="shared" si="5"/>
        <v>0.02750025661669732</v>
      </c>
      <c r="I22" s="136">
        <f t="shared" si="5"/>
        <v>0.028320400919454793</v>
      </c>
      <c r="J22" s="136">
        <f t="shared" si="5"/>
        <v>0.029152537741277726</v>
      </c>
      <c r="K22" s="136">
        <f t="shared" si="5"/>
        <v>0.02994081705508213</v>
      </c>
      <c r="L22" s="136">
        <f t="shared" si="5"/>
        <v>0.030626632160817586</v>
      </c>
      <c r="M22" s="136">
        <f t="shared" si="5"/>
        <v>0.031293709166648406</v>
      </c>
      <c r="N22" s="136">
        <f t="shared" si="5"/>
        <v>0.032044605320164316</v>
      </c>
      <c r="O22" s="136">
        <f t="shared" si="5"/>
        <v>0.03293689404824568</v>
      </c>
      <c r="P22" s="121"/>
    </row>
    <row r="23" spans="1:16" ht="5.25" customHeight="1">
      <c r="A23" s="115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4" spans="1:16" ht="12">
      <c r="A24" s="115">
        <f>A22+1</f>
        <v>15</v>
      </c>
      <c r="B24" s="123" t="s">
        <v>79</v>
      </c>
      <c r="C24" s="123"/>
      <c r="D24" s="123">
        <f>D7-C7</f>
        <v>31</v>
      </c>
      <c r="E24" s="123">
        <f aca="true" t="shared" si="6" ref="E24:O24">E7-D7</f>
        <v>29</v>
      </c>
      <c r="F24" s="123">
        <f t="shared" si="6"/>
        <v>31</v>
      </c>
      <c r="G24" s="123">
        <f t="shared" si="6"/>
        <v>30</v>
      </c>
      <c r="H24" s="123">
        <f t="shared" si="6"/>
        <v>31</v>
      </c>
      <c r="I24" s="123">
        <f t="shared" si="6"/>
        <v>30</v>
      </c>
      <c r="J24" s="123">
        <f t="shared" si="6"/>
        <v>31</v>
      </c>
      <c r="K24" s="123">
        <f t="shared" si="6"/>
        <v>31</v>
      </c>
      <c r="L24" s="123">
        <f t="shared" si="6"/>
        <v>30</v>
      </c>
      <c r="M24" s="123">
        <f t="shared" si="6"/>
        <v>31</v>
      </c>
      <c r="N24" s="123">
        <f t="shared" si="6"/>
        <v>30</v>
      </c>
      <c r="O24" s="123">
        <f t="shared" si="6"/>
        <v>31</v>
      </c>
      <c r="P24" s="137"/>
    </row>
    <row r="25" spans="1:16" ht="3.75" customHeight="1">
      <c r="A25" s="115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37"/>
    </row>
    <row r="26" spans="1:16" ht="12">
      <c r="A26" s="115">
        <f>A24+1</f>
        <v>16</v>
      </c>
      <c r="B26" s="119" t="s">
        <v>80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38" t="s">
        <v>55</v>
      </c>
    </row>
    <row r="27" spans="1:16" ht="12">
      <c r="A27" s="115">
        <f>A26+1</f>
        <v>17</v>
      </c>
      <c r="B27" s="123" t="s">
        <v>81</v>
      </c>
      <c r="C27" s="123"/>
      <c r="D27" s="121">
        <f>AVERAGE(C11:D11)*(D21*D24/360)*1000</f>
        <v>141566.06317237552</v>
      </c>
      <c r="E27" s="121">
        <f aca="true" t="shared" si="7" ref="E27:O27">AVERAGE(D11:E11)*(E21*E24/360)*1000</f>
        <v>139672.1368473049</v>
      </c>
      <c r="F27" s="121">
        <f t="shared" si="7"/>
        <v>156822.0690888249</v>
      </c>
      <c r="G27" s="121">
        <f t="shared" si="7"/>
        <v>159235.5947356878</v>
      </c>
      <c r="H27" s="121">
        <f t="shared" si="7"/>
        <v>172736.2691380614</v>
      </c>
      <c r="I27" s="121">
        <f t="shared" si="7"/>
        <v>175707.30124432078</v>
      </c>
      <c r="J27" s="121">
        <f t="shared" si="7"/>
        <v>190521.23957625328</v>
      </c>
      <c r="K27" s="121">
        <f t="shared" si="7"/>
        <v>199006.1905234535</v>
      </c>
      <c r="L27" s="121">
        <f t="shared" si="7"/>
        <v>199730.5433418498</v>
      </c>
      <c r="M27" s="121">
        <f t="shared" si="7"/>
        <v>213568.57089100714</v>
      </c>
      <c r="N27" s="121">
        <f t="shared" si="7"/>
        <v>214501.0970850449</v>
      </c>
      <c r="O27" s="121">
        <f t="shared" si="7"/>
        <v>231255.6303804223</v>
      </c>
      <c r="P27" s="122">
        <f>SUM(D27:O27)</f>
        <v>2194322.7060246062</v>
      </c>
    </row>
    <row r="28" spans="1:16" ht="12">
      <c r="A28" s="115">
        <f>A27+1</f>
        <v>18</v>
      </c>
      <c r="B28" s="123" t="s">
        <v>82</v>
      </c>
      <c r="C28" s="123"/>
      <c r="D28" s="121">
        <f>AVERAGE(C12:D12)*(D22*D24/360)*1000</f>
        <v>295371.1030016212</v>
      </c>
      <c r="E28" s="121">
        <f aca="true" t="shared" si="8" ref="E28:O28">AVERAGE(D12:E12)*(E22*E24/360)*1000</f>
        <v>273970.2807494344</v>
      </c>
      <c r="F28" s="121">
        <f t="shared" si="8"/>
        <v>300941.6348335746</v>
      </c>
      <c r="G28" s="121">
        <f t="shared" si="8"/>
        <v>299262.2688501042</v>
      </c>
      <c r="H28" s="121">
        <f t="shared" si="8"/>
        <v>318040.25036729797</v>
      </c>
      <c r="I28" s="121">
        <f t="shared" si="8"/>
        <v>316959.88330160495</v>
      </c>
      <c r="J28" s="121">
        <f t="shared" si="8"/>
        <v>337148.86851087015</v>
      </c>
      <c r="K28" s="121">
        <f t="shared" si="8"/>
        <v>346265.3125432322</v>
      </c>
      <c r="L28" s="121">
        <f t="shared" si="8"/>
        <v>342771.0569219162</v>
      </c>
      <c r="M28" s="121">
        <f t="shared" si="8"/>
        <v>361911.49911813246</v>
      </c>
      <c r="N28" s="121">
        <f t="shared" si="8"/>
        <v>358640.91019092844</v>
      </c>
      <c r="O28" s="121">
        <f t="shared" si="8"/>
        <v>380914.91928351554</v>
      </c>
      <c r="P28" s="122">
        <f>SUM(D28:O28)</f>
        <v>3932197.987672232</v>
      </c>
    </row>
    <row r="29" spans="1:16" ht="12.75" thickBot="1">
      <c r="A29" s="115">
        <f>A28+1</f>
        <v>19</v>
      </c>
      <c r="B29" s="139" t="s">
        <v>83</v>
      </c>
      <c r="C29" s="123"/>
      <c r="D29" s="140">
        <f aca="true" t="shared" si="9" ref="D29:O29">SUM(D27:D28)</f>
        <v>436937.16617399675</v>
      </c>
      <c r="E29" s="140">
        <f t="shared" si="9"/>
        <v>413642.41759673925</v>
      </c>
      <c r="F29" s="140">
        <f t="shared" si="9"/>
        <v>457763.7039223995</v>
      </c>
      <c r="G29" s="140">
        <f t="shared" si="9"/>
        <v>458497.863585792</v>
      </c>
      <c r="H29" s="140">
        <f t="shared" si="9"/>
        <v>490776.51950535935</v>
      </c>
      <c r="I29" s="140">
        <f t="shared" si="9"/>
        <v>492667.1845459257</v>
      </c>
      <c r="J29" s="140">
        <f t="shared" si="9"/>
        <v>527670.1080871234</v>
      </c>
      <c r="K29" s="140">
        <f t="shared" si="9"/>
        <v>545271.5030666857</v>
      </c>
      <c r="L29" s="140">
        <f t="shared" si="9"/>
        <v>542501.600263766</v>
      </c>
      <c r="M29" s="140">
        <f t="shared" si="9"/>
        <v>575480.0700091396</v>
      </c>
      <c r="N29" s="140">
        <f t="shared" si="9"/>
        <v>573142.0072759733</v>
      </c>
      <c r="O29" s="140">
        <f t="shared" si="9"/>
        <v>612170.5496639379</v>
      </c>
      <c r="P29" s="141">
        <f>SUM(D29:O29)</f>
        <v>6126520.693696838</v>
      </c>
    </row>
    <row r="30" spans="1:16" ht="5.25" customHeight="1" thickTop="1">
      <c r="A30" s="115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7"/>
    </row>
    <row r="31" spans="1:18" ht="12">
      <c r="A31" s="115">
        <f>A29+1</f>
        <v>20</v>
      </c>
      <c r="B31" s="112" t="s">
        <v>84</v>
      </c>
      <c r="C31" s="129"/>
      <c r="D31" s="142">
        <f aca="true" t="shared" si="10" ref="D31:O31">(+D29/1000)/((D13+C13)/2)*(360/D24)</f>
        <v>0.019190275830297483</v>
      </c>
      <c r="E31" s="142">
        <f t="shared" si="10"/>
        <v>0.019802581294123787</v>
      </c>
      <c r="F31" s="142">
        <f t="shared" si="10"/>
        <v>0.020500969317006183</v>
      </c>
      <c r="G31" s="142">
        <f t="shared" si="10"/>
        <v>0.021218310315638162</v>
      </c>
      <c r="H31" s="142">
        <f t="shared" si="10"/>
        <v>0.02197944983770945</v>
      </c>
      <c r="I31" s="142">
        <f t="shared" si="10"/>
        <v>0.02279959414046692</v>
      </c>
      <c r="J31" s="142">
        <f t="shared" si="10"/>
        <v>0.023631730962289852</v>
      </c>
      <c r="K31" s="142">
        <f t="shared" si="10"/>
        <v>0.024420010276094264</v>
      </c>
      <c r="L31" s="142">
        <f t="shared" si="10"/>
        <v>0.02510582538182972</v>
      </c>
      <c r="M31" s="142">
        <f t="shared" si="10"/>
        <v>0.025772902387660536</v>
      </c>
      <c r="N31" s="142">
        <f t="shared" si="10"/>
        <v>0.02652379854117645</v>
      </c>
      <c r="O31" s="142">
        <f t="shared" si="10"/>
        <v>0.027416087269257813</v>
      </c>
      <c r="P31" s="142">
        <f>ROUND(P29/(P8*1000),4)</f>
        <v>0.0236</v>
      </c>
      <c r="R31" s="142"/>
    </row>
    <row r="32" spans="1:16" ht="4.5" customHeight="1">
      <c r="A32" s="115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7"/>
    </row>
    <row r="33" spans="1:16" ht="12">
      <c r="A33" s="115">
        <f>A31+1</f>
        <v>21</v>
      </c>
      <c r="B33" s="119" t="s">
        <v>85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7"/>
    </row>
    <row r="34" spans="1:16" ht="12">
      <c r="A34" s="115">
        <f>A33+1</f>
        <v>22</v>
      </c>
      <c r="B34" s="123" t="s">
        <v>86</v>
      </c>
      <c r="C34" s="143">
        <v>800000</v>
      </c>
      <c r="D34" s="120">
        <f>C34</f>
        <v>800000</v>
      </c>
      <c r="E34" s="120">
        <f aca="true" t="shared" si="11" ref="E34:O34">D34</f>
        <v>800000</v>
      </c>
      <c r="F34" s="120">
        <f t="shared" si="11"/>
        <v>800000</v>
      </c>
      <c r="G34" s="120">
        <f t="shared" si="11"/>
        <v>800000</v>
      </c>
      <c r="H34" s="120">
        <f t="shared" si="11"/>
        <v>800000</v>
      </c>
      <c r="I34" s="120">
        <f t="shared" si="11"/>
        <v>800000</v>
      </c>
      <c r="J34" s="120">
        <f t="shared" si="11"/>
        <v>800000</v>
      </c>
      <c r="K34" s="120">
        <f t="shared" si="11"/>
        <v>800000</v>
      </c>
      <c r="L34" s="120">
        <f t="shared" si="11"/>
        <v>800000</v>
      </c>
      <c r="M34" s="120">
        <f t="shared" si="11"/>
        <v>800000</v>
      </c>
      <c r="N34" s="120">
        <f t="shared" si="11"/>
        <v>800000</v>
      </c>
      <c r="O34" s="120">
        <f t="shared" si="11"/>
        <v>800000</v>
      </c>
      <c r="P34" s="137"/>
    </row>
    <row r="35" spans="1:16" ht="12">
      <c r="A35" s="115">
        <f>A34+1</f>
        <v>23</v>
      </c>
      <c r="B35" s="123" t="s">
        <v>87</v>
      </c>
      <c r="C35" s="121">
        <f>C12+C43</f>
        <v>144517.71999999997</v>
      </c>
      <c r="D35" s="121">
        <f aca="true" t="shared" si="12" ref="D35:O35">D12+D43</f>
        <v>134303.134</v>
      </c>
      <c r="E35" s="121">
        <f t="shared" si="12"/>
        <v>134303.134</v>
      </c>
      <c r="F35" s="121">
        <f t="shared" si="12"/>
        <v>134303.134</v>
      </c>
      <c r="G35" s="121">
        <f t="shared" si="12"/>
        <v>134303.134</v>
      </c>
      <c r="H35" s="121">
        <f t="shared" si="12"/>
        <v>134303.134</v>
      </c>
      <c r="I35" s="121">
        <f t="shared" si="12"/>
        <v>134303.134</v>
      </c>
      <c r="J35" s="121">
        <f t="shared" si="12"/>
        <v>134303.134</v>
      </c>
      <c r="K35" s="121">
        <f t="shared" si="12"/>
        <v>134303.134</v>
      </c>
      <c r="L35" s="121">
        <f t="shared" si="12"/>
        <v>134303.134</v>
      </c>
      <c r="M35" s="121">
        <f t="shared" si="12"/>
        <v>134303.134</v>
      </c>
      <c r="N35" s="121">
        <f t="shared" si="12"/>
        <v>134303.134</v>
      </c>
      <c r="O35" s="121">
        <f t="shared" si="12"/>
        <v>134303.134</v>
      </c>
      <c r="P35" s="137"/>
    </row>
    <row r="36" spans="1:16" ht="12">
      <c r="A36" s="115">
        <f>A35+1</f>
        <v>24</v>
      </c>
      <c r="B36" s="144" t="s">
        <v>88</v>
      </c>
      <c r="C36" s="145">
        <f>C34-C35</f>
        <v>655482.28</v>
      </c>
      <c r="D36" s="145">
        <f aca="true" t="shared" si="13" ref="D36:O36">D34-D35</f>
        <v>665696.866</v>
      </c>
      <c r="E36" s="145">
        <f t="shared" si="13"/>
        <v>665696.866</v>
      </c>
      <c r="F36" s="145">
        <f t="shared" si="13"/>
        <v>665696.866</v>
      </c>
      <c r="G36" s="145">
        <f t="shared" si="13"/>
        <v>665696.866</v>
      </c>
      <c r="H36" s="145">
        <f t="shared" si="13"/>
        <v>665696.866</v>
      </c>
      <c r="I36" s="145">
        <f t="shared" si="13"/>
        <v>665696.866</v>
      </c>
      <c r="J36" s="145">
        <f t="shared" si="13"/>
        <v>665696.866</v>
      </c>
      <c r="K36" s="145">
        <f t="shared" si="13"/>
        <v>665696.866</v>
      </c>
      <c r="L36" s="145">
        <f t="shared" si="13"/>
        <v>665696.866</v>
      </c>
      <c r="M36" s="145">
        <f t="shared" si="13"/>
        <v>665696.866</v>
      </c>
      <c r="N36" s="145">
        <f t="shared" si="13"/>
        <v>665696.866</v>
      </c>
      <c r="O36" s="145">
        <f t="shared" si="13"/>
        <v>665696.866</v>
      </c>
      <c r="P36" s="137"/>
    </row>
    <row r="37" spans="1:16" ht="4.5" customHeight="1">
      <c r="A37" s="115"/>
      <c r="B37" s="126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37"/>
    </row>
    <row r="38" spans="1:16" ht="12">
      <c r="A38" s="115">
        <f>A36+1</f>
        <v>25</v>
      </c>
      <c r="B38" s="119" t="s">
        <v>89</v>
      </c>
      <c r="C38" s="146" t="s">
        <v>11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7"/>
    </row>
    <row r="39" spans="1:16" ht="12">
      <c r="A39" s="115">
        <f>A38+1</f>
        <v>26</v>
      </c>
      <c r="B39" s="135" t="s">
        <v>90</v>
      </c>
      <c r="C39" s="236">
        <v>0.00175</v>
      </c>
      <c r="D39" s="121">
        <f>AVERAGE(C36:D36)*($C39*D$24/360)*1000</f>
        <v>99547.17870902781</v>
      </c>
      <c r="E39" s="121">
        <f aca="true" t="shared" si="14" ref="E39:O39">AVERAGE(D36:E36)*($C39*E$24/360)*1000</f>
        <v>93844.7665263889</v>
      </c>
      <c r="F39" s="121">
        <f t="shared" si="14"/>
        <v>100316.81939027779</v>
      </c>
      <c r="G39" s="121">
        <f t="shared" si="14"/>
        <v>97080.79295833333</v>
      </c>
      <c r="H39" s="121">
        <f t="shared" si="14"/>
        <v>100316.81939027779</v>
      </c>
      <c r="I39" s="121">
        <f t="shared" si="14"/>
        <v>97080.79295833333</v>
      </c>
      <c r="J39" s="121">
        <f t="shared" si="14"/>
        <v>100316.81939027779</v>
      </c>
      <c r="K39" s="121">
        <f t="shared" si="14"/>
        <v>100316.81939027779</v>
      </c>
      <c r="L39" s="121">
        <f t="shared" si="14"/>
        <v>97080.79295833333</v>
      </c>
      <c r="M39" s="121">
        <f t="shared" si="14"/>
        <v>100316.81939027779</v>
      </c>
      <c r="N39" s="121">
        <f t="shared" si="14"/>
        <v>97080.79295833333</v>
      </c>
      <c r="O39" s="121">
        <f t="shared" si="14"/>
        <v>100316.81939027779</v>
      </c>
      <c r="P39" s="122">
        <f>SUM(D39:O39)</f>
        <v>1183616.0334104171</v>
      </c>
    </row>
    <row r="40" spans="1:18" ht="12.75" thickBot="1">
      <c r="A40" s="115">
        <f>A39+1</f>
        <v>27</v>
      </c>
      <c r="B40" s="139" t="s">
        <v>91</v>
      </c>
      <c r="C40" s="147"/>
      <c r="D40" s="148">
        <f aca="true" t="shared" si="15" ref="D40:O40">SUM(D39:D39)</f>
        <v>99547.17870902781</v>
      </c>
      <c r="E40" s="148">
        <f t="shared" si="15"/>
        <v>93844.7665263889</v>
      </c>
      <c r="F40" s="148">
        <f t="shared" si="15"/>
        <v>100316.81939027779</v>
      </c>
      <c r="G40" s="148">
        <f t="shared" si="15"/>
        <v>97080.79295833333</v>
      </c>
      <c r="H40" s="148">
        <f t="shared" si="15"/>
        <v>100316.81939027779</v>
      </c>
      <c r="I40" s="148">
        <f t="shared" si="15"/>
        <v>97080.79295833333</v>
      </c>
      <c r="J40" s="148">
        <f t="shared" si="15"/>
        <v>100316.81939027779</v>
      </c>
      <c r="K40" s="148">
        <f t="shared" si="15"/>
        <v>100316.81939027779</v>
      </c>
      <c r="L40" s="148">
        <f t="shared" si="15"/>
        <v>97080.79295833333</v>
      </c>
      <c r="M40" s="148">
        <f t="shared" si="15"/>
        <v>100316.81939027779</v>
      </c>
      <c r="N40" s="148">
        <f t="shared" si="15"/>
        <v>97080.79295833333</v>
      </c>
      <c r="O40" s="148">
        <f t="shared" si="15"/>
        <v>100316.81939027779</v>
      </c>
      <c r="P40" s="141">
        <f>SUM(D40:O40)</f>
        <v>1183616.0334104171</v>
      </c>
      <c r="R40" s="149"/>
    </row>
    <row r="41" spans="1:16" ht="6" customHeight="1" thickTop="1">
      <c r="A41" s="115"/>
      <c r="B41" s="150"/>
      <c r="C41" s="151"/>
      <c r="D41" s="151"/>
      <c r="E41" s="151"/>
      <c r="F41" s="151"/>
      <c r="G41" s="151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ht="12" customHeight="1">
      <c r="A42" s="115">
        <f>A40+1</f>
        <v>28</v>
      </c>
      <c r="B42" s="119" t="s">
        <v>92</v>
      </c>
      <c r="C42" s="152">
        <v>0.01</v>
      </c>
      <c r="D42" s="151"/>
      <c r="E42" s="151"/>
      <c r="F42" s="151"/>
      <c r="G42" s="151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2" customHeight="1">
      <c r="A43" s="115">
        <f>A42+1</f>
        <v>29</v>
      </c>
      <c r="B43" s="123" t="s">
        <v>93</v>
      </c>
      <c r="C43" s="120"/>
      <c r="D43" s="143">
        <v>0</v>
      </c>
      <c r="E43" s="143">
        <f aca="true" t="shared" si="16" ref="E43:O43">D43</f>
        <v>0</v>
      </c>
      <c r="F43" s="143">
        <f t="shared" si="16"/>
        <v>0</v>
      </c>
      <c r="G43" s="143">
        <f t="shared" si="16"/>
        <v>0</v>
      </c>
      <c r="H43" s="143">
        <f t="shared" si="16"/>
        <v>0</v>
      </c>
      <c r="I43" s="143">
        <f t="shared" si="16"/>
        <v>0</v>
      </c>
      <c r="J43" s="143">
        <f t="shared" si="16"/>
        <v>0</v>
      </c>
      <c r="K43" s="143">
        <f t="shared" si="16"/>
        <v>0</v>
      </c>
      <c r="L43" s="143">
        <f t="shared" si="16"/>
        <v>0</v>
      </c>
      <c r="M43" s="143">
        <f t="shared" si="16"/>
        <v>0</v>
      </c>
      <c r="N43" s="143">
        <f t="shared" si="16"/>
        <v>0</v>
      </c>
      <c r="O43" s="143">
        <f t="shared" si="16"/>
        <v>0</v>
      </c>
      <c r="P43" s="122"/>
    </row>
    <row r="44" spans="1:16" ht="12" customHeight="1">
      <c r="A44" s="115">
        <f>A43+1</f>
        <v>30</v>
      </c>
      <c r="B44" s="123" t="s">
        <v>94</v>
      </c>
      <c r="C44" s="120"/>
      <c r="D44" s="143">
        <f aca="true" t="shared" si="17" ref="D44:I44">2132000/1000</f>
        <v>2132</v>
      </c>
      <c r="E44" s="143">
        <f t="shared" si="17"/>
        <v>2132</v>
      </c>
      <c r="F44" s="143">
        <f t="shared" si="17"/>
        <v>2132</v>
      </c>
      <c r="G44" s="143">
        <f t="shared" si="17"/>
        <v>2132</v>
      </c>
      <c r="H44" s="143">
        <f t="shared" si="17"/>
        <v>2132</v>
      </c>
      <c r="I44" s="143">
        <f t="shared" si="17"/>
        <v>2132</v>
      </c>
      <c r="J44" s="143">
        <f aca="true" t="shared" si="18" ref="J44:O44">1937250/1000</f>
        <v>1937.25</v>
      </c>
      <c r="K44" s="143">
        <f t="shared" si="18"/>
        <v>1937.25</v>
      </c>
      <c r="L44" s="143">
        <f t="shared" si="18"/>
        <v>1937.25</v>
      </c>
      <c r="M44" s="143">
        <f t="shared" si="18"/>
        <v>1937.25</v>
      </c>
      <c r="N44" s="143">
        <f t="shared" si="18"/>
        <v>1937.25</v>
      </c>
      <c r="O44" s="143">
        <f t="shared" si="18"/>
        <v>1937.25</v>
      </c>
      <c r="P44" s="122"/>
    </row>
    <row r="45" spans="1:18" ht="12" customHeight="1" thickBot="1">
      <c r="A45" s="115">
        <f>A44+1</f>
        <v>31</v>
      </c>
      <c r="B45" s="139" t="s">
        <v>129</v>
      </c>
      <c r="C45" s="152">
        <v>0.01</v>
      </c>
      <c r="D45" s="148">
        <f>D43*($C42*D$24/360)*1000+D44*($C45*D$24/360)*1000</f>
        <v>1835.888888888889</v>
      </c>
      <c r="E45" s="148">
        <f aca="true" t="shared" si="19" ref="E45:O45">E43*($C42*E$24/360)*1000+E44*($C45*E$24/360)*1000</f>
        <v>1717.4444444444443</v>
      </c>
      <c r="F45" s="148">
        <f t="shared" si="19"/>
        <v>1835.888888888889</v>
      </c>
      <c r="G45" s="148">
        <f t="shared" si="19"/>
        <v>1776.6666666666665</v>
      </c>
      <c r="H45" s="148">
        <f t="shared" si="19"/>
        <v>1835.888888888889</v>
      </c>
      <c r="I45" s="148">
        <f t="shared" si="19"/>
        <v>1776.6666666666665</v>
      </c>
      <c r="J45" s="148">
        <f t="shared" si="19"/>
        <v>1668.1875</v>
      </c>
      <c r="K45" s="148">
        <f t="shared" si="19"/>
        <v>1668.1875</v>
      </c>
      <c r="L45" s="148">
        <f t="shared" si="19"/>
        <v>1614.375</v>
      </c>
      <c r="M45" s="148">
        <f t="shared" si="19"/>
        <v>1668.1875</v>
      </c>
      <c r="N45" s="148">
        <f t="shared" si="19"/>
        <v>1614.375</v>
      </c>
      <c r="O45" s="148">
        <f t="shared" si="19"/>
        <v>1668.1875</v>
      </c>
      <c r="P45" s="141">
        <f>SUM(D45:O45)</f>
        <v>20679.944444444445</v>
      </c>
      <c r="R45" s="149"/>
    </row>
    <row r="46" spans="1:18" ht="12.75" customHeight="1" thickTop="1">
      <c r="A46" s="115">
        <f aca="true" t="shared" si="20" ref="A46:A63">A45+1</f>
        <v>32</v>
      </c>
      <c r="B46" s="139"/>
      <c r="C46" s="153"/>
      <c r="D46" s="121"/>
      <c r="E46" s="121"/>
      <c r="F46" s="154"/>
      <c r="G46" s="121"/>
      <c r="H46" s="121"/>
      <c r="I46" s="121"/>
      <c r="J46" s="121"/>
      <c r="K46" s="121"/>
      <c r="L46" s="121"/>
      <c r="M46" s="121"/>
      <c r="N46" s="121"/>
      <c r="O46" s="155" t="s">
        <v>95</v>
      </c>
      <c r="P46" s="122">
        <f>P40+P45</f>
        <v>1204295.9778548616</v>
      </c>
      <c r="R46" s="149"/>
    </row>
    <row r="47" spans="1:18" ht="12.75" customHeight="1">
      <c r="A47" s="115">
        <f t="shared" si="20"/>
        <v>33</v>
      </c>
      <c r="B47" s="139"/>
      <c r="C47" s="153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55" t="s">
        <v>107</v>
      </c>
      <c r="P47" s="122">
        <f>'2 - Cost of Total Debt (R)'!H42</f>
        <v>10733986403.960396</v>
      </c>
      <c r="R47" s="149"/>
    </row>
    <row r="48" spans="1:18" ht="12.75" customHeight="1">
      <c r="A48" s="115">
        <f t="shared" si="20"/>
        <v>34</v>
      </c>
      <c r="B48" s="139"/>
      <c r="C48" s="153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55" t="s">
        <v>96</v>
      </c>
      <c r="P48" s="156">
        <f>ROUND(P46/P47,4)</f>
        <v>0.0001</v>
      </c>
      <c r="R48" s="149"/>
    </row>
    <row r="49" spans="1:18" ht="12" customHeight="1">
      <c r="A49" s="115">
        <f t="shared" si="20"/>
        <v>35</v>
      </c>
      <c r="B49" s="139"/>
      <c r="C49" s="153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56"/>
      <c r="R49" s="149"/>
    </row>
    <row r="50" spans="1:16" ht="12">
      <c r="A50" s="115">
        <f t="shared" si="20"/>
        <v>36</v>
      </c>
      <c r="B50" s="119" t="s">
        <v>125</v>
      </c>
      <c r="C50" s="151"/>
      <c r="D50" s="151"/>
      <c r="E50" s="151"/>
      <c r="F50" s="151"/>
      <c r="G50" s="151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8" ht="12">
      <c r="A51" s="115">
        <f t="shared" si="20"/>
        <v>37</v>
      </c>
      <c r="B51" s="135" t="s">
        <v>132</v>
      </c>
      <c r="C51" s="151"/>
      <c r="D51" s="143">
        <f>-'[4]Pg 5 STD Amort'!$D$15</f>
        <v>47576.01</v>
      </c>
      <c r="E51" s="143">
        <f>-'[4]Pg 5 STD Amort'!$D$15</f>
        <v>47576.01</v>
      </c>
      <c r="F51" s="143">
        <f>-'[4]Pg 5 STD Amort'!$D$15</f>
        <v>47576.01</v>
      </c>
      <c r="G51" s="143">
        <f>-'[4]Pg 5 STD Amort'!$D$15</f>
        <v>47576.01</v>
      </c>
      <c r="H51" s="143">
        <f>-'[4]Pg 5 STD Amort'!$D$15</f>
        <v>47576.01</v>
      </c>
      <c r="I51" s="143">
        <f>-'[4]Pg 5 STD Amort'!$D$15</f>
        <v>47576.01</v>
      </c>
      <c r="J51" s="143">
        <f>-'[4]Pg 5 STD Amort'!$D$15</f>
        <v>47576.01</v>
      </c>
      <c r="K51" s="143">
        <f>-'[4]Pg 5 STD Amort'!$D$15</f>
        <v>47576.01</v>
      </c>
      <c r="L51" s="143">
        <f>-'[4]Pg 5 STD Amort'!$D$15</f>
        <v>47576.01</v>
      </c>
      <c r="M51" s="143">
        <f>-'[4]Pg 5 STD Amort'!$D$15</f>
        <v>47576.01</v>
      </c>
      <c r="N51" s="143">
        <f>-'[4]Pg 5 STD Amort'!$D$15</f>
        <v>47576.01</v>
      </c>
      <c r="O51" s="143">
        <f>-'[4]Pg 5 STD Amort'!$D$15</f>
        <v>47576.01</v>
      </c>
      <c r="P51" s="122">
        <f>SUM(D51:O51)</f>
        <v>570912.12</v>
      </c>
      <c r="R51" s="261"/>
    </row>
    <row r="52" spans="1:18" ht="12" customHeight="1" thickBot="1">
      <c r="A52" s="115">
        <f t="shared" si="20"/>
        <v>38</v>
      </c>
      <c r="B52" s="139" t="s">
        <v>97</v>
      </c>
      <c r="C52" s="151"/>
      <c r="D52" s="157">
        <f aca="true" t="shared" si="21" ref="D52:O52">SUM(D51:D51)</f>
        <v>47576.01</v>
      </c>
      <c r="E52" s="157">
        <f t="shared" si="21"/>
        <v>47576.01</v>
      </c>
      <c r="F52" s="157">
        <f t="shared" si="21"/>
        <v>47576.01</v>
      </c>
      <c r="G52" s="157">
        <f t="shared" si="21"/>
        <v>47576.01</v>
      </c>
      <c r="H52" s="157">
        <f t="shared" si="21"/>
        <v>47576.01</v>
      </c>
      <c r="I52" s="157">
        <f t="shared" si="21"/>
        <v>47576.01</v>
      </c>
      <c r="J52" s="157">
        <f t="shared" si="21"/>
        <v>47576.01</v>
      </c>
      <c r="K52" s="157">
        <f t="shared" si="21"/>
        <v>47576.01</v>
      </c>
      <c r="L52" s="157">
        <f t="shared" si="21"/>
        <v>47576.01</v>
      </c>
      <c r="M52" s="157">
        <f t="shared" si="21"/>
        <v>47576.01</v>
      </c>
      <c r="N52" s="157">
        <f t="shared" si="21"/>
        <v>47576.01</v>
      </c>
      <c r="O52" s="157">
        <f t="shared" si="21"/>
        <v>47576.01</v>
      </c>
      <c r="P52" s="141">
        <f>SUM(D52:O52)</f>
        <v>570912.12</v>
      </c>
      <c r="R52" s="149"/>
    </row>
    <row r="53" spans="1:18" ht="12" customHeight="1" thickTop="1">
      <c r="A53" s="115">
        <f t="shared" si="20"/>
        <v>39</v>
      </c>
      <c r="B53" s="139"/>
      <c r="C53" s="151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5" t="s">
        <v>107</v>
      </c>
      <c r="P53" s="122">
        <f>'2 - Cost of Total Debt (R)'!$H$42</f>
        <v>10733986403.960396</v>
      </c>
      <c r="R53" s="149"/>
    </row>
    <row r="54" spans="1:18" ht="12" customHeight="1">
      <c r="A54" s="115">
        <f t="shared" si="20"/>
        <v>40</v>
      </c>
      <c r="B54" s="139"/>
      <c r="C54" s="151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5" t="s">
        <v>98</v>
      </c>
      <c r="P54" s="156">
        <f>ROUND(P52/P53,4)</f>
        <v>0.0001</v>
      </c>
      <c r="R54" s="149"/>
    </row>
    <row r="55" spans="1:18" ht="12" customHeight="1">
      <c r="A55" s="115">
        <f t="shared" si="20"/>
        <v>41</v>
      </c>
      <c r="B55" s="139"/>
      <c r="C55" s="151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5"/>
      <c r="P55" s="156"/>
      <c r="R55" s="149"/>
    </row>
    <row r="56" spans="1:18" ht="12" customHeight="1">
      <c r="A56" s="115">
        <f t="shared" si="20"/>
        <v>42</v>
      </c>
      <c r="B56" s="139" t="s">
        <v>137</v>
      </c>
      <c r="C56" s="266">
        <v>5161360</v>
      </c>
      <c r="D56" s="266">
        <v>5161360</v>
      </c>
      <c r="E56" s="266">
        <v>5161360</v>
      </c>
      <c r="F56" s="266">
        <v>5161360</v>
      </c>
      <c r="G56" s="266">
        <v>5161360</v>
      </c>
      <c r="H56" s="266">
        <v>5161360</v>
      </c>
      <c r="I56" s="266">
        <v>5161360</v>
      </c>
      <c r="J56" s="266">
        <v>5161360</v>
      </c>
      <c r="K56" s="266">
        <v>5161360</v>
      </c>
      <c r="L56" s="266">
        <v>5161360</v>
      </c>
      <c r="M56" s="266">
        <v>5161360</v>
      </c>
      <c r="N56" s="266">
        <v>5161360</v>
      </c>
      <c r="O56" s="266">
        <v>5161360</v>
      </c>
      <c r="P56" s="267">
        <f>ROUND(((C56+O56)+(SUM(D56:N56)*2))/24,3)</f>
        <v>5161360</v>
      </c>
      <c r="R56" s="149"/>
    </row>
    <row r="57" spans="1:18" ht="12" customHeight="1" thickBot="1">
      <c r="A57" s="115">
        <f t="shared" si="20"/>
        <v>43</v>
      </c>
      <c r="B57" s="139" t="s">
        <v>138</v>
      </c>
      <c r="C57" s="157">
        <f aca="true" t="shared" si="22" ref="C57:O57">+C13+C56</f>
        <v>5430877.72</v>
      </c>
      <c r="D57" s="157">
        <f t="shared" si="22"/>
        <v>5420663.134</v>
      </c>
      <c r="E57" s="157">
        <f t="shared" si="22"/>
        <v>5420663.134</v>
      </c>
      <c r="F57" s="157">
        <f t="shared" si="22"/>
        <v>5420663.134</v>
      </c>
      <c r="G57" s="157">
        <f t="shared" si="22"/>
        <v>5420663.134</v>
      </c>
      <c r="H57" s="157">
        <f t="shared" si="22"/>
        <v>5420663.134</v>
      </c>
      <c r="I57" s="157">
        <f t="shared" si="22"/>
        <v>5420663.134</v>
      </c>
      <c r="J57" s="157">
        <f t="shared" si="22"/>
        <v>5420663.134</v>
      </c>
      <c r="K57" s="157">
        <f t="shared" si="22"/>
        <v>5420663.134</v>
      </c>
      <c r="L57" s="157">
        <f t="shared" si="22"/>
        <v>5420663.134</v>
      </c>
      <c r="M57" s="157">
        <f t="shared" si="22"/>
        <v>5420663.134</v>
      </c>
      <c r="N57" s="157">
        <f t="shared" si="22"/>
        <v>5420663.134</v>
      </c>
      <c r="O57" s="148">
        <f t="shared" si="22"/>
        <v>5420663.134</v>
      </c>
      <c r="P57" s="141">
        <f>P13+P56</f>
        <v>5420663.134</v>
      </c>
      <c r="R57" s="149"/>
    </row>
    <row r="58" spans="1:18" ht="12" customHeight="1" thickTop="1">
      <c r="A58" s="115">
        <f t="shared" si="20"/>
        <v>44</v>
      </c>
      <c r="B58" s="139"/>
      <c r="C58" s="151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5"/>
      <c r="P58" s="156"/>
      <c r="R58" s="149"/>
    </row>
    <row r="59" spans="1:18" ht="12" customHeight="1">
      <c r="A59" s="115">
        <f t="shared" si="20"/>
        <v>45</v>
      </c>
      <c r="B59" s="135" t="s">
        <v>143</v>
      </c>
      <c r="C59" s="151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5"/>
      <c r="P59" s="268">
        <f>P13/P57*(1-'1 - Cost of Capital'!D22)</f>
        <v>0.0241572072333097</v>
      </c>
      <c r="R59" s="149"/>
    </row>
    <row r="60" spans="1:18" ht="12" customHeight="1">
      <c r="A60" s="115">
        <f t="shared" si="20"/>
        <v>46</v>
      </c>
      <c r="B60" s="135" t="s">
        <v>144</v>
      </c>
      <c r="C60" s="151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5"/>
      <c r="P60" s="270">
        <f>P56/P57*(1-'1 - Cost of Capital'!D22)</f>
        <v>0.48084279276669034</v>
      </c>
      <c r="R60" s="149"/>
    </row>
    <row r="61" spans="1:18" ht="12" customHeight="1">
      <c r="A61" s="115">
        <f t="shared" si="20"/>
        <v>47</v>
      </c>
      <c r="B61" s="139" t="s">
        <v>145</v>
      </c>
      <c r="C61" s="151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5"/>
      <c r="P61" s="269">
        <f>SUM(P59:P60)</f>
        <v>0.505</v>
      </c>
      <c r="R61" s="149"/>
    </row>
    <row r="62" spans="1:16" ht="12" customHeight="1">
      <c r="A62" s="115">
        <f t="shared" si="20"/>
        <v>48</v>
      </c>
      <c r="P62" s="41"/>
    </row>
    <row r="63" spans="1:2" ht="12" customHeight="1">
      <c r="A63" s="115">
        <f t="shared" si="20"/>
        <v>49</v>
      </c>
      <c r="B63" s="119" t="s">
        <v>130</v>
      </c>
    </row>
    <row r="64" spans="2:15" ht="12">
      <c r="B64" s="1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Footer>&amp;C&amp;A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90" workbookViewId="0" topLeftCell="A10">
      <selection activeCell="J39" sqref="J39"/>
    </sheetView>
  </sheetViews>
  <sheetFormatPr defaultColWidth="8.66015625" defaultRowHeight="11.25"/>
  <cols>
    <col min="1" max="1" width="4.66015625" style="16" customWidth="1"/>
    <col min="2" max="2" width="33.160156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72" t="s">
        <v>69</v>
      </c>
      <c r="C1" s="73"/>
      <c r="D1" s="73"/>
      <c r="E1" s="73"/>
      <c r="F1" s="73"/>
      <c r="G1" s="72"/>
      <c r="H1" s="73"/>
      <c r="I1" s="73"/>
      <c r="J1" s="72"/>
      <c r="K1" s="73"/>
      <c r="L1" s="161"/>
    </row>
    <row r="2" spans="2:12" ht="12.75" customHeight="1">
      <c r="B2" s="72" t="s">
        <v>16</v>
      </c>
      <c r="C2" s="73"/>
      <c r="D2" s="73"/>
      <c r="E2" s="73"/>
      <c r="F2" s="73"/>
      <c r="G2" s="72"/>
      <c r="H2" s="73"/>
      <c r="I2" s="73"/>
      <c r="J2" s="72"/>
      <c r="K2" s="73"/>
      <c r="L2" s="161"/>
    </row>
    <row r="3" spans="2:12" ht="12.75" customHeight="1">
      <c r="B3" s="72" t="str">
        <f>'2 - Cost of Total Debt (R)'!$B$3</f>
        <v>For The 12 Months Ended December 31, 2024</v>
      </c>
      <c r="C3" s="73"/>
      <c r="D3" s="73"/>
      <c r="E3" s="73"/>
      <c r="F3" s="73"/>
      <c r="G3" s="72"/>
      <c r="H3" s="73"/>
      <c r="I3" s="73"/>
      <c r="J3" s="72"/>
      <c r="K3" s="73"/>
      <c r="L3" s="161"/>
    </row>
    <row r="4" spans="2:12" ht="12.75" customHeight="1">
      <c r="B4" s="162"/>
      <c r="C4" s="162"/>
      <c r="D4" s="162"/>
      <c r="E4" s="163"/>
      <c r="F4" s="163"/>
      <c r="G4" s="163"/>
      <c r="H4" s="163"/>
      <c r="I4" s="163"/>
      <c r="J4" s="163"/>
      <c r="K4" s="163"/>
      <c r="L4" s="161"/>
    </row>
    <row r="5" spans="1:12" ht="12.75" customHeight="1">
      <c r="A5" s="164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65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61"/>
    </row>
    <row r="6" spans="1:12" ht="23.25" customHeight="1">
      <c r="A6" s="164">
        <f aca="true" t="shared" si="0" ref="A6:A28">A5+1</f>
        <v>2</v>
      </c>
      <c r="B6" s="166" t="s">
        <v>0</v>
      </c>
      <c r="C6" s="167" t="s">
        <v>9</v>
      </c>
      <c r="D6" s="168" t="s">
        <v>44</v>
      </c>
      <c r="E6" s="169" t="s">
        <v>52</v>
      </c>
      <c r="F6" s="169" t="s">
        <v>53</v>
      </c>
      <c r="G6" s="169" t="s">
        <v>53</v>
      </c>
      <c r="H6" s="169" t="s">
        <v>32</v>
      </c>
      <c r="I6" s="168" t="s">
        <v>64</v>
      </c>
      <c r="J6" s="169" t="s">
        <v>65</v>
      </c>
      <c r="K6" s="168" t="s">
        <v>10</v>
      </c>
      <c r="L6" s="161"/>
    </row>
    <row r="7" spans="1:12" ht="12.75" customHeight="1">
      <c r="A7" s="164">
        <f>+A6+1</f>
        <v>3</v>
      </c>
      <c r="B7" s="170" t="s">
        <v>9</v>
      </c>
      <c r="C7" s="171" t="s">
        <v>45</v>
      </c>
      <c r="D7" s="171" t="s">
        <v>45</v>
      </c>
      <c r="E7" s="171" t="s">
        <v>45</v>
      </c>
      <c r="F7" s="171" t="s">
        <v>9</v>
      </c>
      <c r="G7" s="171" t="s">
        <v>45</v>
      </c>
      <c r="H7" s="171" t="s">
        <v>54</v>
      </c>
      <c r="I7" s="172" t="s">
        <v>51</v>
      </c>
      <c r="J7" s="171" t="s">
        <v>66</v>
      </c>
      <c r="K7" s="171" t="s">
        <v>51</v>
      </c>
      <c r="L7" s="161"/>
    </row>
    <row r="8" ht="12.75" customHeight="1">
      <c r="A8" s="164">
        <f t="shared" si="0"/>
        <v>4</v>
      </c>
    </row>
    <row r="9" spans="1:13" ht="12.75" customHeight="1">
      <c r="A9" s="164">
        <f>+A8+1</f>
        <v>5</v>
      </c>
      <c r="B9" s="244" t="s">
        <v>50</v>
      </c>
      <c r="C9" s="245">
        <v>33161</v>
      </c>
      <c r="D9" s="245">
        <v>35718</v>
      </c>
      <c r="E9" s="245">
        <v>34372</v>
      </c>
      <c r="F9" s="245" t="s">
        <v>47</v>
      </c>
      <c r="G9" s="245">
        <v>34366</v>
      </c>
      <c r="H9" s="246">
        <v>45323</v>
      </c>
      <c r="I9" s="249">
        <v>14073.34</v>
      </c>
      <c r="J9" s="175">
        <v>2</v>
      </c>
      <c r="K9" s="174">
        <f>ROUND(I9*J9,2)</f>
        <v>28146.68</v>
      </c>
      <c r="M9" s="174"/>
    </row>
    <row r="10" spans="1:13" ht="12.75" customHeight="1">
      <c r="A10" s="164">
        <f t="shared" si="0"/>
        <v>6</v>
      </c>
      <c r="B10" s="244" t="s">
        <v>46</v>
      </c>
      <c r="C10" s="245">
        <v>35587</v>
      </c>
      <c r="D10" s="245">
        <v>46539</v>
      </c>
      <c r="E10" s="245">
        <v>38504</v>
      </c>
      <c r="F10" s="245"/>
      <c r="G10" s="245"/>
      <c r="H10" s="246">
        <v>46539</v>
      </c>
      <c r="I10" s="249">
        <v>19150.35</v>
      </c>
      <c r="J10" s="175">
        <v>12</v>
      </c>
      <c r="K10" s="174">
        <f>ROUND(I10*J10,2)</f>
        <v>229804.2</v>
      </c>
      <c r="M10" s="174"/>
    </row>
    <row r="11" spans="1:13" ht="12.75" customHeight="1">
      <c r="A11" s="164">
        <f>+A10+1</f>
        <v>7</v>
      </c>
      <c r="B11" s="247" t="s">
        <v>20</v>
      </c>
      <c r="C11" s="245">
        <v>33457</v>
      </c>
      <c r="D11" s="245">
        <f>DATE(2021,8,1)</f>
        <v>44409</v>
      </c>
      <c r="E11" s="248">
        <v>37691</v>
      </c>
      <c r="F11" s="248" t="s">
        <v>48</v>
      </c>
      <c r="G11" s="248">
        <v>37691</v>
      </c>
      <c r="H11" s="246">
        <v>47908</v>
      </c>
      <c r="I11" s="249">
        <v>3790.04</v>
      </c>
      <c r="J11" s="175">
        <v>12</v>
      </c>
      <c r="K11" s="174">
        <f>ROUND(I11*J11,2)</f>
        <v>45480.48</v>
      </c>
      <c r="M11" s="174"/>
    </row>
    <row r="12" spans="1:13" ht="12.75" customHeight="1">
      <c r="A12" s="164">
        <f t="shared" si="0"/>
        <v>8</v>
      </c>
      <c r="B12" s="247" t="s">
        <v>21</v>
      </c>
      <c r="C12" s="245">
        <v>33457</v>
      </c>
      <c r="D12" s="245">
        <f>DATE(2021,8,1)</f>
        <v>44409</v>
      </c>
      <c r="E12" s="248">
        <v>37691</v>
      </c>
      <c r="F12" s="248" t="s">
        <v>48</v>
      </c>
      <c r="G12" s="248">
        <v>37691</v>
      </c>
      <c r="H12" s="246">
        <v>47908</v>
      </c>
      <c r="I12" s="249">
        <v>2880.12</v>
      </c>
      <c r="J12" s="175">
        <v>12</v>
      </c>
      <c r="K12" s="174">
        <f>ROUND(I12*J12,2)</f>
        <v>34561.44</v>
      </c>
      <c r="M12" s="174"/>
    </row>
    <row r="13" spans="1:13" ht="12.75" customHeight="1">
      <c r="A13" s="164">
        <f>+A12+1</f>
        <v>9</v>
      </c>
      <c r="B13" s="247" t="s">
        <v>22</v>
      </c>
      <c r="C13" s="245">
        <v>33664</v>
      </c>
      <c r="D13" s="245">
        <f>DATE(2022,3,1)</f>
        <v>44621</v>
      </c>
      <c r="E13" s="248">
        <v>37691</v>
      </c>
      <c r="F13" s="248" t="s">
        <v>48</v>
      </c>
      <c r="G13" s="248">
        <v>37691</v>
      </c>
      <c r="H13" s="246">
        <v>47908</v>
      </c>
      <c r="I13" s="249">
        <v>8818.79</v>
      </c>
      <c r="J13" s="175">
        <v>12</v>
      </c>
      <c r="K13" s="174">
        <f>ROUND(I13*J13,2)</f>
        <v>105825.48</v>
      </c>
      <c r="M13" s="174"/>
    </row>
    <row r="14" spans="1:13" ht="12.75" customHeight="1">
      <c r="A14" s="164">
        <f t="shared" si="0"/>
        <v>10</v>
      </c>
      <c r="B14" s="247" t="s">
        <v>23</v>
      </c>
      <c r="C14" s="245">
        <v>33664</v>
      </c>
      <c r="D14" s="245">
        <f>DATE(2022,3,1)</f>
        <v>44621</v>
      </c>
      <c r="E14" s="248">
        <v>37691</v>
      </c>
      <c r="F14" s="248" t="s">
        <v>48</v>
      </c>
      <c r="G14" s="248">
        <v>37691</v>
      </c>
      <c r="H14" s="246">
        <v>47908</v>
      </c>
      <c r="I14" s="249">
        <v>2691.48</v>
      </c>
      <c r="J14" s="175">
        <v>12</v>
      </c>
      <c r="K14" s="174">
        <f aca="true" t="shared" si="1" ref="K14:K22">ROUND(I14*J14,2)</f>
        <v>32297.76</v>
      </c>
      <c r="M14" s="174"/>
    </row>
    <row r="15" spans="1:13" ht="12.75" customHeight="1">
      <c r="A15" s="164">
        <f>+A14+1</f>
        <v>11</v>
      </c>
      <c r="B15" s="247" t="s">
        <v>58</v>
      </c>
      <c r="C15" s="245">
        <v>37691</v>
      </c>
      <c r="D15" s="245">
        <v>47908</v>
      </c>
      <c r="E15" s="248">
        <v>41449</v>
      </c>
      <c r="F15" s="248" t="s">
        <v>59</v>
      </c>
      <c r="G15" s="248">
        <v>41417</v>
      </c>
      <c r="H15" s="246">
        <v>47908</v>
      </c>
      <c r="I15" s="249">
        <v>24927.39</v>
      </c>
      <c r="J15" s="175">
        <v>12</v>
      </c>
      <c r="K15" s="174">
        <f t="shared" si="1"/>
        <v>299128.68</v>
      </c>
      <c r="M15" s="174"/>
    </row>
    <row r="16" spans="1:13" ht="12.75" customHeight="1">
      <c r="A16" s="164">
        <f t="shared" si="0"/>
        <v>12</v>
      </c>
      <c r="B16" s="247" t="s">
        <v>58</v>
      </c>
      <c r="C16" s="245">
        <v>37691</v>
      </c>
      <c r="D16" s="245">
        <v>47908</v>
      </c>
      <c r="E16" s="248">
        <v>41449</v>
      </c>
      <c r="F16" s="248" t="s">
        <v>59</v>
      </c>
      <c r="G16" s="248">
        <v>41417</v>
      </c>
      <c r="H16" s="246">
        <v>47908</v>
      </c>
      <c r="I16" s="249">
        <v>4212.77</v>
      </c>
      <c r="J16" s="175">
        <v>12</v>
      </c>
      <c r="K16" s="174">
        <f t="shared" si="1"/>
        <v>50553.24</v>
      </c>
      <c r="M16" s="174"/>
    </row>
    <row r="17" spans="1:11" ht="12.75" customHeight="1">
      <c r="A17" s="164">
        <f t="shared" si="0"/>
        <v>13</v>
      </c>
      <c r="B17" s="244" t="s">
        <v>42</v>
      </c>
      <c r="C17" s="245">
        <v>38183</v>
      </c>
      <c r="D17" s="245">
        <v>38913</v>
      </c>
      <c r="E17" s="245">
        <v>38499</v>
      </c>
      <c r="F17" s="245" t="s">
        <v>43</v>
      </c>
      <c r="G17" s="245">
        <v>38499</v>
      </c>
      <c r="H17" s="246">
        <v>49456</v>
      </c>
      <c r="I17" s="249">
        <v>1423.88</v>
      </c>
      <c r="J17" s="175">
        <v>12</v>
      </c>
      <c r="K17" s="174">
        <f t="shared" si="1"/>
        <v>17086.56</v>
      </c>
    </row>
    <row r="18" spans="1:11" ht="12.75" customHeight="1">
      <c r="A18" s="164">
        <f>+A17+1</f>
        <v>14</v>
      </c>
      <c r="B18" s="244" t="s">
        <v>18</v>
      </c>
      <c r="C18" s="245">
        <v>37035</v>
      </c>
      <c r="D18" s="245">
        <v>51682</v>
      </c>
      <c r="E18" s="245">
        <v>38898</v>
      </c>
      <c r="F18" s="245" t="s">
        <v>49</v>
      </c>
      <c r="G18" s="245">
        <v>38898</v>
      </c>
      <c r="H18" s="246">
        <v>49841</v>
      </c>
      <c r="I18" s="249">
        <v>16418.45</v>
      </c>
      <c r="J18" s="175">
        <v>12</v>
      </c>
      <c r="K18" s="174">
        <f t="shared" si="1"/>
        <v>197021.4</v>
      </c>
    </row>
    <row r="19" spans="1:11" ht="15" customHeight="1">
      <c r="A19" s="164">
        <f t="shared" si="0"/>
        <v>15</v>
      </c>
      <c r="B19" s="244" t="s">
        <v>56</v>
      </c>
      <c r="C19" s="245">
        <v>33117</v>
      </c>
      <c r="D19" s="245">
        <v>44075</v>
      </c>
      <c r="E19" s="245">
        <v>40900</v>
      </c>
      <c r="F19" s="245" t="s">
        <v>57</v>
      </c>
      <c r="G19" s="245">
        <v>40869</v>
      </c>
      <c r="H19" s="246">
        <v>55472</v>
      </c>
      <c r="I19" s="249">
        <v>33376.57</v>
      </c>
      <c r="J19" s="175">
        <v>12</v>
      </c>
      <c r="K19" s="174">
        <f t="shared" si="1"/>
        <v>400518.84</v>
      </c>
    </row>
    <row r="20" spans="1:11" ht="15" customHeight="1">
      <c r="A20" s="164">
        <f>+A19+1</f>
        <v>16</v>
      </c>
      <c r="B20" s="244" t="s">
        <v>60</v>
      </c>
      <c r="C20" s="245">
        <v>38637</v>
      </c>
      <c r="D20" s="245">
        <v>42278</v>
      </c>
      <c r="E20" s="245">
        <v>42160</v>
      </c>
      <c r="F20" s="245" t="s">
        <v>62</v>
      </c>
      <c r="G20" s="245">
        <v>42150</v>
      </c>
      <c r="H20" s="246">
        <v>53102</v>
      </c>
      <c r="I20" s="249">
        <v>6858.54</v>
      </c>
      <c r="J20" s="175">
        <v>12</v>
      </c>
      <c r="K20" s="174">
        <f t="shared" si="1"/>
        <v>82302.48</v>
      </c>
    </row>
    <row r="21" spans="1:11" ht="15" customHeight="1">
      <c r="A21" s="164">
        <f t="shared" si="0"/>
        <v>17</v>
      </c>
      <c r="B21" s="244" t="s">
        <v>61</v>
      </c>
      <c r="C21" s="245">
        <v>39836</v>
      </c>
      <c r="D21" s="245">
        <v>42384</v>
      </c>
      <c r="E21" s="245">
        <v>42160</v>
      </c>
      <c r="F21" s="245" t="s">
        <v>62</v>
      </c>
      <c r="G21" s="245">
        <v>42150</v>
      </c>
      <c r="H21" s="246">
        <v>53102</v>
      </c>
      <c r="I21" s="249">
        <v>26387.48</v>
      </c>
      <c r="J21" s="175">
        <v>12</v>
      </c>
      <c r="K21" s="174">
        <f t="shared" si="1"/>
        <v>316649.76</v>
      </c>
    </row>
    <row r="22" spans="1:11" ht="15" customHeight="1">
      <c r="A22" s="164">
        <f>+A21+1</f>
        <v>18</v>
      </c>
      <c r="B22" s="244" t="s">
        <v>131</v>
      </c>
      <c r="C22" s="245">
        <v>39237</v>
      </c>
      <c r="D22" s="245">
        <v>24624</v>
      </c>
      <c r="E22" s="245">
        <v>43217</v>
      </c>
      <c r="F22" s="245"/>
      <c r="G22" s="245"/>
      <c r="H22" s="246">
        <v>61149</v>
      </c>
      <c r="I22" s="249">
        <v>8387.72</v>
      </c>
      <c r="J22" s="175">
        <v>12</v>
      </c>
      <c r="K22" s="174">
        <f t="shared" si="1"/>
        <v>100652.64</v>
      </c>
    </row>
    <row r="23" spans="1:11" ht="15" customHeight="1" thickBot="1">
      <c r="A23" s="164">
        <f t="shared" si="0"/>
        <v>19</v>
      </c>
      <c r="B23" s="176"/>
      <c r="C23" s="31"/>
      <c r="D23" s="31"/>
      <c r="E23" s="31"/>
      <c r="F23" s="31"/>
      <c r="G23" s="31"/>
      <c r="H23" s="31"/>
      <c r="I23" s="259"/>
      <c r="J23" s="31"/>
      <c r="K23" s="177">
        <f>SUM(K9:K22)</f>
        <v>1940029.64</v>
      </c>
    </row>
    <row r="24" spans="1:11" ht="15" customHeight="1" thickTop="1">
      <c r="A24" s="164">
        <f>+A23+1</f>
        <v>20</v>
      </c>
      <c r="B24" s="176" t="s">
        <v>107</v>
      </c>
      <c r="C24" s="31"/>
      <c r="D24" s="31"/>
      <c r="E24" s="31"/>
      <c r="F24" s="31"/>
      <c r="G24" s="31"/>
      <c r="H24" s="31"/>
      <c r="I24" s="260"/>
      <c r="J24" s="31"/>
      <c r="K24" s="178">
        <f>'2 - Cost of Total Debt (R)'!H42</f>
        <v>10733986403.960396</v>
      </c>
    </row>
    <row r="25" spans="1:11" ht="12.75" customHeight="1">
      <c r="A25" s="164">
        <f t="shared" si="0"/>
        <v>21</v>
      </c>
      <c r="B25" s="176"/>
      <c r="C25" s="32"/>
      <c r="D25" s="32"/>
      <c r="E25" s="32"/>
      <c r="F25" s="32"/>
      <c r="G25" s="32"/>
      <c r="H25" s="32"/>
      <c r="I25" s="32"/>
      <c r="J25" s="32"/>
      <c r="K25" s="173"/>
    </row>
    <row r="26" spans="1:11" ht="12.75" customHeight="1">
      <c r="A26" s="164">
        <f t="shared" si="0"/>
        <v>22</v>
      </c>
      <c r="B26" s="176" t="s">
        <v>67</v>
      </c>
      <c r="C26" s="161"/>
      <c r="D26" s="161"/>
      <c r="E26" s="161"/>
      <c r="F26" s="161"/>
      <c r="G26" s="161"/>
      <c r="H26" s="179"/>
      <c r="I26" s="179"/>
      <c r="J26" s="179"/>
      <c r="K26" s="180">
        <f>ROUND(K23/K24,4)</f>
        <v>0.0002</v>
      </c>
    </row>
    <row r="27" spans="1:11" ht="12.75" customHeight="1">
      <c r="A27" s="164">
        <f>+A26+1</f>
        <v>23</v>
      </c>
      <c r="B27" s="181"/>
      <c r="C27" s="35"/>
      <c r="D27" s="35"/>
      <c r="E27" s="35"/>
      <c r="F27" s="35"/>
      <c r="H27" s="17"/>
      <c r="I27" s="17"/>
      <c r="J27" s="17"/>
      <c r="K27" s="173"/>
    </row>
    <row r="28" spans="1:11" ht="12.75" customHeight="1">
      <c r="A28" s="164">
        <f t="shared" si="0"/>
        <v>24</v>
      </c>
      <c r="B28" s="161" t="s">
        <v>68</v>
      </c>
      <c r="H28" s="17"/>
      <c r="I28" s="17"/>
      <c r="J28" s="17"/>
      <c r="K28" s="173"/>
    </row>
    <row r="29" spans="1:11" ht="12.75" customHeight="1">
      <c r="A29" s="164"/>
      <c r="B29" s="182"/>
      <c r="H29" s="17"/>
      <c r="I29" s="17"/>
      <c r="J29" s="17"/>
      <c r="K29" s="17"/>
    </row>
    <row r="30" spans="1:11" ht="12.75" customHeight="1">
      <c r="A30" s="36"/>
      <c r="H30" s="17"/>
      <c r="I30" s="17"/>
      <c r="J30" s="17"/>
      <c r="K30" s="17"/>
    </row>
    <row r="31" spans="8:11" ht="12.75" customHeight="1">
      <c r="H31" s="17"/>
      <c r="I31" s="17"/>
      <c r="J31" s="17"/>
      <c r="K31" s="17"/>
    </row>
    <row r="32" spans="8:11" ht="12.75" customHeight="1">
      <c r="H32" s="17"/>
      <c r="I32" s="17"/>
      <c r="J32" s="17"/>
      <c r="K32" s="34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ht="12.75" customHeight="1"/>
    <row r="42" ht="12.75" customHeight="1"/>
    <row r="43" ht="12.75" customHeight="1"/>
    <row r="44" ht="8.25" customHeight="1"/>
    <row r="45" ht="12.75" customHeight="1"/>
    <row r="46" ht="12.75" customHeight="1"/>
    <row r="47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2022-01-24T18:55:09Z</cp:lastPrinted>
  <dcterms:created xsi:type="dcterms:W3CDTF">2016-12-21T02:43:36Z</dcterms:created>
  <dcterms:modified xsi:type="dcterms:W3CDTF">2022-03-29T20:45:37Z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Exhibit - Proposed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2022-03-29T00:00:00Z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