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06 FIT_DFIT Expense\"/>
    </mc:Choice>
  </mc:AlternateContent>
  <bookViews>
    <workbookView xWindow="0" yWindow="0" windowWidth="23040" windowHeight="10668" activeTab="1"/>
  </bookViews>
  <sheets>
    <sheet name="Sch M Summary " sheetId="5" r:id="rId1"/>
    <sheet name="Reconcile Temp" sheetId="6" r:id="rId2"/>
  </sheets>
  <definedNames>
    <definedName name="_xlnm.Print_Area" localSheetId="1">'Reconcile Temp'!$A$1:$AA$70</definedName>
    <definedName name="_xlnm.Print_Area" localSheetId="0">'Sch M Summary '!$A$1:$I$100</definedName>
    <definedName name="_xlnm.Print_Titles" localSheetId="1">'Reconcile Temp'!$B:$B,'Reconcile Temp'!$1:$1</definedName>
    <definedName name="_xlnm.Print_Titles" localSheetId="0">'Sch M Summary '!$2:$3</definedName>
  </definedNames>
  <calcPr calcId="152511"/>
</workbook>
</file>

<file path=xl/calcChain.xml><?xml version="1.0" encoding="utf-8"?>
<calcChain xmlns="http://schemas.openxmlformats.org/spreadsheetml/2006/main">
  <c r="M69" i="6" l="1"/>
  <c r="U55" i="6"/>
  <c r="T54" i="6"/>
  <c r="R67" i="6" l="1"/>
  <c r="D92" i="5"/>
  <c r="D95" i="5"/>
  <c r="I95" i="5" s="1"/>
  <c r="I92" i="5"/>
  <c r="I97" i="5"/>
  <c r="E95" i="5"/>
  <c r="F95" i="5"/>
  <c r="G95" i="5"/>
  <c r="H95" i="5"/>
  <c r="D91" i="5"/>
  <c r="E89" i="5"/>
  <c r="D89" i="5"/>
  <c r="G33" i="5" l="1"/>
  <c r="D15" i="6" l="1"/>
  <c r="U54" i="6" l="1"/>
  <c r="S54" i="6"/>
  <c r="R54" i="6"/>
  <c r="T55" i="6"/>
  <c r="N67" i="6" l="1"/>
  <c r="M67" i="6"/>
  <c r="V57" i="6" l="1"/>
  <c r="T46" i="6"/>
  <c r="X38" i="6"/>
  <c r="X24" i="6"/>
  <c r="T20" i="6"/>
  <c r="R20" i="6"/>
  <c r="V20" i="6"/>
  <c r="U20" i="6"/>
  <c r="X39" i="6"/>
  <c r="X42" i="6"/>
  <c r="X9" i="6"/>
  <c r="X40" i="6" s="1"/>
  <c r="X41" i="6"/>
  <c r="X16" i="6"/>
  <c r="W54" i="6" l="1"/>
  <c r="W55" i="6"/>
  <c r="W56" i="6"/>
  <c r="W58" i="6"/>
  <c r="W53" i="6"/>
  <c r="U5" i="6"/>
  <c r="T5" i="6"/>
  <c r="S5" i="6"/>
  <c r="R5" i="6"/>
  <c r="U4" i="6"/>
  <c r="U57" i="6" s="1"/>
  <c r="T4" i="6"/>
  <c r="T57" i="6" s="1"/>
  <c r="S4" i="6"/>
  <c r="R4" i="6"/>
  <c r="R13" i="6" s="1"/>
  <c r="I87" i="5"/>
  <c r="S13" i="6" l="1"/>
  <c r="S57" i="6"/>
  <c r="R57" i="6"/>
  <c r="W57" i="6" s="1"/>
  <c r="A57" i="6"/>
  <c r="B57" i="6"/>
  <c r="C57" i="6"/>
  <c r="D57" i="6"/>
  <c r="E57" i="6"/>
  <c r="L57" i="6" s="1"/>
  <c r="F57" i="6"/>
  <c r="M57" i="6" s="1"/>
  <c r="G57" i="6"/>
  <c r="N57" i="6" s="1"/>
  <c r="H57" i="6"/>
  <c r="O57" i="6" s="1"/>
  <c r="A58" i="6"/>
  <c r="B58" i="6"/>
  <c r="C58" i="6"/>
  <c r="D58" i="6"/>
  <c r="K58" i="6" s="1"/>
  <c r="E58" i="6"/>
  <c r="L58" i="6" s="1"/>
  <c r="F58" i="6"/>
  <c r="M58" i="6" s="1"/>
  <c r="G58" i="6"/>
  <c r="N58" i="6" s="1"/>
  <c r="H58" i="6"/>
  <c r="O58" i="6" s="1"/>
  <c r="A59" i="6"/>
  <c r="B59" i="6"/>
  <c r="C59" i="6"/>
  <c r="D59" i="6"/>
  <c r="K59" i="6" s="1"/>
  <c r="E59" i="6"/>
  <c r="L59" i="6" s="1"/>
  <c r="F59" i="6"/>
  <c r="M59" i="6" s="1"/>
  <c r="G59" i="6"/>
  <c r="N59" i="6" s="1"/>
  <c r="H59" i="6"/>
  <c r="O59" i="6" s="1"/>
  <c r="E53" i="6"/>
  <c r="L53" i="6" s="1"/>
  <c r="F53" i="6"/>
  <c r="M53" i="6" s="1"/>
  <c r="G53" i="6"/>
  <c r="N53" i="6" s="1"/>
  <c r="H53" i="6"/>
  <c r="O53" i="6" s="1"/>
  <c r="E54" i="6"/>
  <c r="L54" i="6" s="1"/>
  <c r="F54" i="6"/>
  <c r="M54" i="6" s="1"/>
  <c r="G54" i="6"/>
  <c r="N54" i="6" s="1"/>
  <c r="H54" i="6"/>
  <c r="O54" i="6" s="1"/>
  <c r="E55" i="6"/>
  <c r="L55" i="6" s="1"/>
  <c r="F55" i="6"/>
  <c r="M55" i="6" s="1"/>
  <c r="G55" i="6"/>
  <c r="N55" i="6" s="1"/>
  <c r="H55" i="6"/>
  <c r="O55" i="6" s="1"/>
  <c r="E56" i="6"/>
  <c r="L56" i="6" s="1"/>
  <c r="F56" i="6"/>
  <c r="M56" i="6" s="1"/>
  <c r="G56" i="6"/>
  <c r="N56" i="6" s="1"/>
  <c r="H56" i="6"/>
  <c r="O56" i="6" s="1"/>
  <c r="D53" i="6"/>
  <c r="K53" i="6" s="1"/>
  <c r="D54" i="6"/>
  <c r="D55" i="6"/>
  <c r="D56" i="6"/>
  <c r="K56" i="6" s="1"/>
  <c r="A36" i="6"/>
  <c r="B36" i="6"/>
  <c r="C36" i="6"/>
  <c r="A37" i="6"/>
  <c r="B37" i="6"/>
  <c r="C37" i="6"/>
  <c r="A38" i="6"/>
  <c r="B38" i="6"/>
  <c r="C38" i="6"/>
  <c r="A39" i="6"/>
  <c r="B39" i="6"/>
  <c r="C39" i="6"/>
  <c r="A40" i="6"/>
  <c r="B40" i="6"/>
  <c r="C40" i="6"/>
  <c r="A41" i="6"/>
  <c r="B41" i="6"/>
  <c r="C41" i="6"/>
  <c r="A42" i="6"/>
  <c r="B42" i="6"/>
  <c r="C42" i="6"/>
  <c r="A43" i="6"/>
  <c r="B43" i="6"/>
  <c r="C43" i="6"/>
  <c r="A44" i="6"/>
  <c r="B44" i="6"/>
  <c r="C44" i="6"/>
  <c r="A45" i="6"/>
  <c r="B45" i="6"/>
  <c r="C45" i="6"/>
  <c r="A46" i="6"/>
  <c r="B46" i="6"/>
  <c r="C46" i="6"/>
  <c r="A47" i="6"/>
  <c r="B47" i="6"/>
  <c r="C47" i="6"/>
  <c r="A48" i="6"/>
  <c r="B48" i="6"/>
  <c r="C48" i="6"/>
  <c r="A49" i="6"/>
  <c r="B49" i="6"/>
  <c r="C49" i="6"/>
  <c r="A50" i="6"/>
  <c r="B50" i="6"/>
  <c r="C50" i="6"/>
  <c r="A51" i="6"/>
  <c r="B51" i="6"/>
  <c r="C51" i="6"/>
  <c r="A52" i="6"/>
  <c r="B52" i="6"/>
  <c r="C52" i="6"/>
  <c r="A53" i="6"/>
  <c r="B53" i="6"/>
  <c r="C53" i="6"/>
  <c r="A54" i="6"/>
  <c r="B54" i="6"/>
  <c r="C54" i="6"/>
  <c r="A55" i="6"/>
  <c r="B55" i="6"/>
  <c r="C55" i="6"/>
  <c r="A56" i="6"/>
  <c r="B56" i="6"/>
  <c r="C56" i="6"/>
  <c r="B35" i="6"/>
  <c r="C35" i="6"/>
  <c r="A35" i="6"/>
  <c r="A27" i="6"/>
  <c r="B27" i="6"/>
  <c r="C27" i="6"/>
  <c r="A28" i="6"/>
  <c r="B28" i="6"/>
  <c r="C28" i="6"/>
  <c r="A29" i="6"/>
  <c r="B29" i="6"/>
  <c r="C29" i="6"/>
  <c r="A30" i="6"/>
  <c r="B30" i="6"/>
  <c r="C30" i="6"/>
  <c r="A31" i="6"/>
  <c r="B31" i="6"/>
  <c r="C31" i="6"/>
  <c r="A32" i="6"/>
  <c r="B32" i="6"/>
  <c r="C32" i="6"/>
  <c r="A33" i="6"/>
  <c r="B33" i="6"/>
  <c r="C33" i="6"/>
  <c r="B26" i="6"/>
  <c r="C26" i="6"/>
  <c r="A26" i="6"/>
  <c r="A8" i="6"/>
  <c r="B8" i="6"/>
  <c r="C8" i="6"/>
  <c r="A9" i="6"/>
  <c r="B9" i="6"/>
  <c r="C9" i="6"/>
  <c r="A10" i="6"/>
  <c r="B10" i="6"/>
  <c r="C10" i="6"/>
  <c r="A11" i="6"/>
  <c r="B11" i="6"/>
  <c r="C11" i="6"/>
  <c r="A12" i="6"/>
  <c r="B12" i="6"/>
  <c r="C12" i="6"/>
  <c r="A13" i="6"/>
  <c r="B13" i="6"/>
  <c r="C13" i="6"/>
  <c r="A14" i="6"/>
  <c r="B14" i="6"/>
  <c r="C14" i="6"/>
  <c r="A15" i="6"/>
  <c r="B15" i="6"/>
  <c r="C15" i="6"/>
  <c r="A16" i="6"/>
  <c r="B16" i="6"/>
  <c r="C16" i="6"/>
  <c r="A17" i="6"/>
  <c r="B17" i="6"/>
  <c r="C17" i="6"/>
  <c r="A18" i="6"/>
  <c r="B18" i="6"/>
  <c r="C18" i="6"/>
  <c r="A19" i="6"/>
  <c r="B19" i="6"/>
  <c r="C19" i="6"/>
  <c r="A20" i="6"/>
  <c r="B20" i="6"/>
  <c r="C20" i="6"/>
  <c r="A21" i="6"/>
  <c r="B21" i="6"/>
  <c r="C21" i="6"/>
  <c r="A22" i="6"/>
  <c r="B22" i="6"/>
  <c r="C22" i="6"/>
  <c r="A23" i="6"/>
  <c r="B23" i="6"/>
  <c r="C23" i="6"/>
  <c r="A24" i="6"/>
  <c r="B24" i="6"/>
  <c r="C24" i="6"/>
  <c r="B7" i="6"/>
  <c r="C7" i="6"/>
  <c r="A7" i="6"/>
  <c r="E35" i="6"/>
  <c r="L35" i="6" s="1"/>
  <c r="F35" i="6"/>
  <c r="M35" i="6" s="1"/>
  <c r="G35" i="6"/>
  <c r="H35" i="6"/>
  <c r="E36" i="6"/>
  <c r="L36" i="6" s="1"/>
  <c r="F36" i="6"/>
  <c r="M36" i="6" s="1"/>
  <c r="G36" i="6"/>
  <c r="H36" i="6"/>
  <c r="E37" i="6"/>
  <c r="L37" i="6" s="1"/>
  <c r="F37" i="6"/>
  <c r="M37" i="6" s="1"/>
  <c r="G37" i="6"/>
  <c r="H37" i="6"/>
  <c r="E38" i="6"/>
  <c r="L38" i="6" s="1"/>
  <c r="F38" i="6"/>
  <c r="M38" i="6" s="1"/>
  <c r="G38" i="6"/>
  <c r="H38" i="6"/>
  <c r="E39" i="6"/>
  <c r="L39" i="6" s="1"/>
  <c r="F39" i="6"/>
  <c r="M39" i="6" s="1"/>
  <c r="G39" i="6"/>
  <c r="H39" i="6"/>
  <c r="E40" i="6"/>
  <c r="L40" i="6" s="1"/>
  <c r="F40" i="6"/>
  <c r="M40" i="6" s="1"/>
  <c r="G40" i="6"/>
  <c r="H40" i="6"/>
  <c r="E41" i="6"/>
  <c r="L41" i="6" s="1"/>
  <c r="F41" i="6"/>
  <c r="M41" i="6" s="1"/>
  <c r="G41" i="6"/>
  <c r="H41" i="6"/>
  <c r="E42" i="6"/>
  <c r="L42" i="6" s="1"/>
  <c r="F42" i="6"/>
  <c r="M42" i="6" s="1"/>
  <c r="G42" i="6"/>
  <c r="H42" i="6"/>
  <c r="E43" i="6"/>
  <c r="L43" i="6" s="1"/>
  <c r="F43" i="6"/>
  <c r="M43" i="6" s="1"/>
  <c r="G43" i="6"/>
  <c r="H43" i="6"/>
  <c r="E44" i="6"/>
  <c r="L44" i="6" s="1"/>
  <c r="F44" i="6"/>
  <c r="M44" i="6" s="1"/>
  <c r="G44" i="6"/>
  <c r="H44" i="6"/>
  <c r="E45" i="6"/>
  <c r="L45" i="6" s="1"/>
  <c r="F45" i="6"/>
  <c r="M45" i="6" s="1"/>
  <c r="G45" i="6"/>
  <c r="H45" i="6"/>
  <c r="E46" i="6"/>
  <c r="L46" i="6" s="1"/>
  <c r="F46" i="6"/>
  <c r="M46" i="6" s="1"/>
  <c r="G46" i="6"/>
  <c r="H46" i="6"/>
  <c r="E47" i="6"/>
  <c r="L47" i="6" s="1"/>
  <c r="F47" i="6"/>
  <c r="M47" i="6" s="1"/>
  <c r="G47" i="6"/>
  <c r="H47" i="6"/>
  <c r="E48" i="6"/>
  <c r="L48" i="6" s="1"/>
  <c r="F48" i="6"/>
  <c r="M48" i="6" s="1"/>
  <c r="G48" i="6"/>
  <c r="H48" i="6"/>
  <c r="E49" i="6"/>
  <c r="L49" i="6" s="1"/>
  <c r="F49" i="6"/>
  <c r="M49" i="6" s="1"/>
  <c r="G49" i="6"/>
  <c r="H49" i="6"/>
  <c r="E50" i="6"/>
  <c r="L50" i="6" s="1"/>
  <c r="F50" i="6"/>
  <c r="M50" i="6" s="1"/>
  <c r="G50" i="6"/>
  <c r="H50" i="6"/>
  <c r="E51" i="6"/>
  <c r="L51" i="6" s="1"/>
  <c r="F51" i="6"/>
  <c r="M51" i="6" s="1"/>
  <c r="G51" i="6"/>
  <c r="H51" i="6"/>
  <c r="E52" i="6"/>
  <c r="L52" i="6" s="1"/>
  <c r="F52" i="6"/>
  <c r="M52" i="6" s="1"/>
  <c r="G52" i="6"/>
  <c r="H52" i="6"/>
  <c r="D36" i="6"/>
  <c r="K36" i="6" s="1"/>
  <c r="D37" i="6"/>
  <c r="K37" i="6" s="1"/>
  <c r="D38" i="6"/>
  <c r="D39" i="6"/>
  <c r="D40" i="6"/>
  <c r="K40" i="6" s="1"/>
  <c r="D41" i="6"/>
  <c r="K41" i="6" s="1"/>
  <c r="D42" i="6"/>
  <c r="D43" i="6"/>
  <c r="D44" i="6"/>
  <c r="K44" i="6" s="1"/>
  <c r="D45" i="6"/>
  <c r="K45" i="6" s="1"/>
  <c r="D46" i="6"/>
  <c r="D47" i="6"/>
  <c r="D48" i="6"/>
  <c r="K48" i="6" s="1"/>
  <c r="D49" i="6"/>
  <c r="K49" i="6" s="1"/>
  <c r="D50" i="6"/>
  <c r="D51" i="6"/>
  <c r="D52" i="6"/>
  <c r="K52" i="6" s="1"/>
  <c r="D35" i="6"/>
  <c r="K35" i="6" s="1"/>
  <c r="E26" i="6"/>
  <c r="F26" i="6"/>
  <c r="M26" i="6" s="1"/>
  <c r="G26" i="6"/>
  <c r="N26" i="6" s="1"/>
  <c r="H26" i="6"/>
  <c r="O26" i="6" s="1"/>
  <c r="E27" i="6"/>
  <c r="L27" i="6" s="1"/>
  <c r="F27" i="6"/>
  <c r="M27" i="6" s="1"/>
  <c r="G27" i="6"/>
  <c r="N27" i="6" s="1"/>
  <c r="H27" i="6"/>
  <c r="O27" i="6" s="1"/>
  <c r="E28" i="6"/>
  <c r="L28" i="6" s="1"/>
  <c r="F28" i="6"/>
  <c r="M28" i="6" s="1"/>
  <c r="G28" i="6"/>
  <c r="N28" i="6" s="1"/>
  <c r="H28" i="6"/>
  <c r="O28" i="6" s="1"/>
  <c r="E29" i="6"/>
  <c r="L29" i="6" s="1"/>
  <c r="F29" i="6"/>
  <c r="M29" i="6" s="1"/>
  <c r="G29" i="6"/>
  <c r="H29" i="6"/>
  <c r="O29" i="6" s="1"/>
  <c r="E30" i="6"/>
  <c r="L30" i="6" s="1"/>
  <c r="F30" i="6"/>
  <c r="M30" i="6" s="1"/>
  <c r="G30" i="6"/>
  <c r="N30" i="6" s="1"/>
  <c r="H30" i="6"/>
  <c r="O30" i="6" s="1"/>
  <c r="E31" i="6"/>
  <c r="L31" i="6" s="1"/>
  <c r="F31" i="6"/>
  <c r="M31" i="6" s="1"/>
  <c r="G31" i="6"/>
  <c r="N31" i="6" s="1"/>
  <c r="H31" i="6"/>
  <c r="O31" i="6" s="1"/>
  <c r="E32" i="6"/>
  <c r="L32" i="6" s="1"/>
  <c r="F32" i="6"/>
  <c r="M32" i="6" s="1"/>
  <c r="G32" i="6"/>
  <c r="H32" i="6"/>
  <c r="O32" i="6" s="1"/>
  <c r="E33" i="6"/>
  <c r="F33" i="6"/>
  <c r="G33" i="6"/>
  <c r="H33" i="6"/>
  <c r="D27" i="6"/>
  <c r="K27" i="6" s="1"/>
  <c r="D28" i="6"/>
  <c r="K28" i="6" s="1"/>
  <c r="D29" i="6"/>
  <c r="K29" i="6" s="1"/>
  <c r="D30" i="6"/>
  <c r="K30" i="6" s="1"/>
  <c r="D31" i="6"/>
  <c r="K31" i="6" s="1"/>
  <c r="D32" i="6"/>
  <c r="K32" i="6" s="1"/>
  <c r="D33" i="6"/>
  <c r="D26" i="6"/>
  <c r="K26" i="6" s="1"/>
  <c r="E7" i="6"/>
  <c r="L7" i="6" s="1"/>
  <c r="F7" i="6"/>
  <c r="M7" i="6" s="1"/>
  <c r="G7" i="6"/>
  <c r="N7" i="6" s="1"/>
  <c r="H7" i="6"/>
  <c r="O7" i="6" s="1"/>
  <c r="E8" i="6"/>
  <c r="L8" i="6" s="1"/>
  <c r="F8" i="6"/>
  <c r="M8" i="6" s="1"/>
  <c r="G8" i="6"/>
  <c r="N8" i="6" s="1"/>
  <c r="H8" i="6"/>
  <c r="O8" i="6" s="1"/>
  <c r="E9" i="6"/>
  <c r="L9" i="6" s="1"/>
  <c r="F9" i="6"/>
  <c r="M9" i="6" s="1"/>
  <c r="G9" i="6"/>
  <c r="N9" i="6" s="1"/>
  <c r="H9" i="6"/>
  <c r="O9" i="6" s="1"/>
  <c r="E10" i="6"/>
  <c r="L10" i="6" s="1"/>
  <c r="F10" i="6"/>
  <c r="M10" i="6" s="1"/>
  <c r="G10" i="6"/>
  <c r="N10" i="6" s="1"/>
  <c r="H10" i="6"/>
  <c r="O10" i="6" s="1"/>
  <c r="E11" i="6"/>
  <c r="L11" i="6" s="1"/>
  <c r="F11" i="6"/>
  <c r="M11" i="6" s="1"/>
  <c r="G11" i="6"/>
  <c r="N11" i="6" s="1"/>
  <c r="H11" i="6"/>
  <c r="O11" i="6" s="1"/>
  <c r="E12" i="6"/>
  <c r="L12" i="6" s="1"/>
  <c r="F12" i="6"/>
  <c r="M12" i="6" s="1"/>
  <c r="G12" i="6"/>
  <c r="N12" i="6" s="1"/>
  <c r="H12" i="6"/>
  <c r="O12" i="6" s="1"/>
  <c r="E13" i="6"/>
  <c r="L13" i="6" s="1"/>
  <c r="F13" i="6"/>
  <c r="M13" i="6" s="1"/>
  <c r="G13" i="6"/>
  <c r="H13" i="6"/>
  <c r="O13" i="6" s="1"/>
  <c r="E14" i="6"/>
  <c r="L14" i="6" s="1"/>
  <c r="F14" i="6"/>
  <c r="M14" i="6" s="1"/>
  <c r="G14" i="6"/>
  <c r="N14" i="6" s="1"/>
  <c r="H14" i="6"/>
  <c r="O14" i="6" s="1"/>
  <c r="E15" i="6"/>
  <c r="L15" i="6" s="1"/>
  <c r="F15" i="6"/>
  <c r="M15" i="6" s="1"/>
  <c r="G15" i="6"/>
  <c r="N15" i="6" s="1"/>
  <c r="H15" i="6"/>
  <c r="O15" i="6" s="1"/>
  <c r="E16" i="6"/>
  <c r="L16" i="6" s="1"/>
  <c r="F16" i="6"/>
  <c r="M16" i="6" s="1"/>
  <c r="G16" i="6"/>
  <c r="N16" i="6" s="1"/>
  <c r="H16" i="6"/>
  <c r="O16" i="6" s="1"/>
  <c r="E17" i="6"/>
  <c r="L17" i="6" s="1"/>
  <c r="F17" i="6"/>
  <c r="M17" i="6" s="1"/>
  <c r="G17" i="6"/>
  <c r="N17" i="6" s="1"/>
  <c r="H17" i="6"/>
  <c r="O17" i="6" s="1"/>
  <c r="E18" i="6"/>
  <c r="L18" i="6" s="1"/>
  <c r="F18" i="6"/>
  <c r="M18" i="6" s="1"/>
  <c r="G18" i="6"/>
  <c r="N18" i="6" s="1"/>
  <c r="H18" i="6"/>
  <c r="O18" i="6" s="1"/>
  <c r="E19" i="6"/>
  <c r="L19" i="6" s="1"/>
  <c r="F19" i="6"/>
  <c r="M19" i="6" s="1"/>
  <c r="G19" i="6"/>
  <c r="N19" i="6" s="1"/>
  <c r="H19" i="6"/>
  <c r="O19" i="6" s="1"/>
  <c r="E20" i="6"/>
  <c r="L20" i="6" s="1"/>
  <c r="F20" i="6"/>
  <c r="M20" i="6" s="1"/>
  <c r="G20" i="6"/>
  <c r="N20" i="6" s="1"/>
  <c r="H20" i="6"/>
  <c r="O20" i="6" s="1"/>
  <c r="E21" i="6"/>
  <c r="L21" i="6" s="1"/>
  <c r="F21" i="6"/>
  <c r="M21" i="6" s="1"/>
  <c r="G21" i="6"/>
  <c r="H21" i="6"/>
  <c r="O21" i="6" s="1"/>
  <c r="E22" i="6"/>
  <c r="L22" i="6" s="1"/>
  <c r="F22" i="6"/>
  <c r="M22" i="6" s="1"/>
  <c r="G22" i="6"/>
  <c r="H22" i="6"/>
  <c r="O22" i="6" s="1"/>
  <c r="E23" i="6"/>
  <c r="L23" i="6" s="1"/>
  <c r="F23" i="6"/>
  <c r="M23" i="6" s="1"/>
  <c r="G23" i="6"/>
  <c r="N23" i="6" s="1"/>
  <c r="H23" i="6"/>
  <c r="O23" i="6" s="1"/>
  <c r="E24" i="6"/>
  <c r="F24" i="6"/>
  <c r="M24" i="6" s="1"/>
  <c r="G24" i="6"/>
  <c r="N24" i="6" s="1"/>
  <c r="H24" i="6"/>
  <c r="O24" i="6" s="1"/>
  <c r="D24" i="6"/>
  <c r="D8" i="6"/>
  <c r="K8" i="6" s="1"/>
  <c r="D9" i="6"/>
  <c r="D10" i="6"/>
  <c r="K10" i="6" s="1"/>
  <c r="D11" i="6"/>
  <c r="K11" i="6" s="1"/>
  <c r="D12" i="6"/>
  <c r="K12" i="6" s="1"/>
  <c r="D13" i="6"/>
  <c r="K13" i="6" s="1"/>
  <c r="K15" i="6"/>
  <c r="D16" i="6"/>
  <c r="K16" i="6" s="1"/>
  <c r="D17" i="6"/>
  <c r="K17" i="6" s="1"/>
  <c r="D18" i="6"/>
  <c r="K18" i="6" s="1"/>
  <c r="D19" i="6"/>
  <c r="K19" i="6" s="1"/>
  <c r="D20" i="6"/>
  <c r="K20" i="6" s="1"/>
  <c r="D21" i="6"/>
  <c r="K21" i="6" s="1"/>
  <c r="D22" i="6"/>
  <c r="K22" i="6" s="1"/>
  <c r="D23" i="6"/>
  <c r="K23" i="6" s="1"/>
  <c r="D7" i="6"/>
  <c r="K7" i="6" s="1"/>
  <c r="N35" i="6"/>
  <c r="O35" i="6"/>
  <c r="N36" i="6"/>
  <c r="O36" i="6"/>
  <c r="N37" i="6"/>
  <c r="O37" i="6"/>
  <c r="N38" i="6"/>
  <c r="O38" i="6"/>
  <c r="N39" i="6"/>
  <c r="O39" i="6"/>
  <c r="N40" i="6"/>
  <c r="O40" i="6"/>
  <c r="N41" i="6"/>
  <c r="O41" i="6"/>
  <c r="N42" i="6"/>
  <c r="O42" i="6"/>
  <c r="N43" i="6"/>
  <c r="O43" i="6"/>
  <c r="N44" i="6"/>
  <c r="O44" i="6"/>
  <c r="N45" i="6"/>
  <c r="O45" i="6"/>
  <c r="N46" i="6"/>
  <c r="O46" i="6"/>
  <c r="N47" i="6"/>
  <c r="O47" i="6"/>
  <c r="N48" i="6"/>
  <c r="O48" i="6"/>
  <c r="N49" i="6"/>
  <c r="O49" i="6"/>
  <c r="N50" i="6"/>
  <c r="O50" i="6"/>
  <c r="N51" i="6"/>
  <c r="O51" i="6"/>
  <c r="N52" i="6"/>
  <c r="O52" i="6"/>
  <c r="K38" i="6"/>
  <c r="K39" i="6"/>
  <c r="K42" i="6"/>
  <c r="K43" i="6"/>
  <c r="K46" i="6"/>
  <c r="K47" i="6"/>
  <c r="K50" i="6"/>
  <c r="K51" i="6"/>
  <c r="N29" i="6"/>
  <c r="N32" i="6"/>
  <c r="L26" i="6"/>
  <c r="K9" i="6"/>
  <c r="N13" i="6"/>
  <c r="N21" i="6"/>
  <c r="N22" i="6"/>
  <c r="I9" i="5"/>
  <c r="I10" i="5"/>
  <c r="I8" i="5"/>
  <c r="P56" i="6" l="1"/>
  <c r="Y56" i="6" s="1"/>
  <c r="P59" i="6"/>
  <c r="I57" i="6"/>
  <c r="P58" i="6"/>
  <c r="Y58" i="6" s="1"/>
  <c r="P53" i="6"/>
  <c r="Y53" i="6" s="1"/>
  <c r="I55" i="6"/>
  <c r="I54" i="6"/>
  <c r="I58" i="6"/>
  <c r="K55" i="6"/>
  <c r="P55" i="6" s="1"/>
  <c r="Y55" i="6" s="1"/>
  <c r="I56" i="6"/>
  <c r="I53" i="6"/>
  <c r="K57" i="6"/>
  <c r="P57" i="6" s="1"/>
  <c r="Y57" i="6" s="1"/>
  <c r="K54" i="6"/>
  <c r="P54" i="6" s="1"/>
  <c r="Y54" i="6" s="1"/>
  <c r="I59" i="6"/>
  <c r="I22" i="5"/>
  <c r="I21" i="5"/>
  <c r="I20" i="5"/>
  <c r="I19" i="5"/>
  <c r="I18" i="5"/>
  <c r="I7" i="5"/>
  <c r="I23" i="5" l="1"/>
  <c r="I73" i="5"/>
  <c r="I74" i="5"/>
  <c r="I75" i="5"/>
  <c r="I76" i="5"/>
  <c r="I77" i="5"/>
  <c r="I78" i="5"/>
  <c r="I72" i="5"/>
  <c r="D25" i="5" l="1"/>
  <c r="S7" i="6" l="1"/>
  <c r="R7" i="6"/>
  <c r="I16" i="5"/>
  <c r="S33" i="6" l="1"/>
  <c r="R33" i="6"/>
  <c r="W34" i="6"/>
  <c r="L34" i="6"/>
  <c r="L33" i="6" s="1"/>
  <c r="K34" i="6"/>
  <c r="K33" i="6" s="1"/>
  <c r="L25" i="6"/>
  <c r="L24" i="6" s="1"/>
  <c r="K25" i="6"/>
  <c r="K24" i="6" s="1"/>
  <c r="W25" i="6"/>
  <c r="S64" i="6"/>
  <c r="U64" i="6"/>
  <c r="V64" i="6"/>
  <c r="P34" i="6" l="1"/>
  <c r="Y34" i="6" s="1"/>
  <c r="P25" i="6"/>
  <c r="Y25" i="6" s="1"/>
  <c r="S47" i="6"/>
  <c r="R47" i="6"/>
  <c r="T64" i="6"/>
  <c r="S27" i="6"/>
  <c r="R27" i="6"/>
  <c r="S45" i="6"/>
  <c r="R45" i="6"/>
  <c r="V38" i="6"/>
  <c r="V37" i="6"/>
  <c r="V21" i="6"/>
  <c r="S24" i="6" l="1"/>
  <c r="R24" i="6"/>
  <c r="R64" i="6"/>
  <c r="W47" i="6"/>
  <c r="U37" i="6"/>
  <c r="T16" i="6"/>
  <c r="R21" i="6" l="1"/>
  <c r="R39" i="6"/>
  <c r="R38" i="6"/>
  <c r="R37" i="6"/>
  <c r="S21" i="6"/>
  <c r="S39" i="6"/>
  <c r="S38" i="6"/>
  <c r="S37" i="6"/>
  <c r="S16" i="6"/>
  <c r="T38" i="6"/>
  <c r="T37" i="6"/>
  <c r="T21" i="6"/>
  <c r="T39" i="6"/>
  <c r="R16" i="6"/>
  <c r="U21" i="6"/>
  <c r="U39" i="6"/>
  <c r="U38" i="6"/>
  <c r="U16" i="6"/>
  <c r="U7" i="6"/>
  <c r="T7" i="6"/>
  <c r="W16" i="6" l="1"/>
  <c r="W39" i="6"/>
  <c r="W37" i="6"/>
  <c r="W21" i="6"/>
  <c r="W38" i="6"/>
  <c r="W52" i="6"/>
  <c r="I52" i="6"/>
  <c r="P52" i="6" l="1"/>
  <c r="Y52" i="6" s="1"/>
  <c r="I71" i="5"/>
  <c r="I23" i="6" l="1"/>
  <c r="P23" i="6" l="1"/>
  <c r="W23" i="6"/>
  <c r="T84" i="5"/>
  <c r="Y23" i="6" l="1"/>
  <c r="I37" i="6"/>
  <c r="P37" i="6" l="1"/>
  <c r="Y37" i="6" s="1"/>
  <c r="W46" i="6" l="1"/>
  <c r="I46" i="6"/>
  <c r="V42" i="6"/>
  <c r="V41" i="6"/>
  <c r="V40" i="6"/>
  <c r="W33" i="6"/>
  <c r="W8" i="6"/>
  <c r="W10" i="6"/>
  <c r="W11" i="6"/>
  <c r="W12" i="6"/>
  <c r="W14" i="6"/>
  <c r="W15" i="6"/>
  <c r="W19" i="6"/>
  <c r="W20" i="6"/>
  <c r="W26" i="6"/>
  <c r="W27" i="6"/>
  <c r="W28" i="6"/>
  <c r="W30" i="6"/>
  <c r="W32" i="6"/>
  <c r="W35" i="6"/>
  <c r="W43" i="6"/>
  <c r="W44" i="6"/>
  <c r="W45" i="6"/>
  <c r="W50" i="6"/>
  <c r="W51" i="6"/>
  <c r="W59" i="6"/>
  <c r="Y59" i="6" s="1"/>
  <c r="M33" i="6"/>
  <c r="N33" i="6"/>
  <c r="O33" i="6"/>
  <c r="I43" i="6"/>
  <c r="I19" i="6"/>
  <c r="I17" i="6"/>
  <c r="I10" i="6"/>
  <c r="W3" i="6"/>
  <c r="W2" i="6"/>
  <c r="R9" i="6"/>
  <c r="R65" i="6" s="1"/>
  <c r="N65" i="6" l="1"/>
  <c r="O64" i="6"/>
  <c r="M65" i="6"/>
  <c r="N64" i="6"/>
  <c r="N69" i="6" s="1"/>
  <c r="L65" i="6"/>
  <c r="M64" i="6"/>
  <c r="O65" i="6"/>
  <c r="K65" i="6"/>
  <c r="L64" i="6"/>
  <c r="L69" i="6" s="1"/>
  <c r="S9" i="6"/>
  <c r="S65" i="6" s="1"/>
  <c r="U9" i="6"/>
  <c r="P46" i="6"/>
  <c r="Y46" i="6" s="1"/>
  <c r="W64" i="6"/>
  <c r="W22" i="6"/>
  <c r="W29" i="6"/>
  <c r="T9" i="6"/>
  <c r="W31" i="6"/>
  <c r="W49" i="6"/>
  <c r="W7" i="6"/>
  <c r="U13" i="6"/>
  <c r="V18" i="6"/>
  <c r="V65" i="6" s="1"/>
  <c r="T13" i="6"/>
  <c r="W48" i="6"/>
  <c r="W36" i="6"/>
  <c r="W17" i="6"/>
  <c r="P43" i="6"/>
  <c r="Y43" i="6" s="1"/>
  <c r="P19" i="6"/>
  <c r="Y19" i="6" s="1"/>
  <c r="W4" i="6"/>
  <c r="P17" i="6"/>
  <c r="P10" i="6"/>
  <c r="Y10" i="6" s="1"/>
  <c r="W5" i="6"/>
  <c r="U65" i="6" l="1"/>
  <c r="T65" i="6"/>
  <c r="V60" i="6"/>
  <c r="W18" i="6"/>
  <c r="U60" i="6"/>
  <c r="W9" i="6"/>
  <c r="W24" i="6"/>
  <c r="S60" i="6"/>
  <c r="W13" i="6"/>
  <c r="P65" i="6"/>
  <c r="R60" i="6"/>
  <c r="W40" i="6"/>
  <c r="T60" i="6"/>
  <c r="W41" i="6"/>
  <c r="W42" i="6"/>
  <c r="Y17" i="6"/>
  <c r="W65" i="6" l="1"/>
  <c r="W60" i="6"/>
  <c r="H60" i="6"/>
  <c r="G60" i="6"/>
  <c r="F60" i="6"/>
  <c r="E60" i="6"/>
  <c r="I51" i="6"/>
  <c r="I50" i="6"/>
  <c r="I49" i="6"/>
  <c r="I48" i="6"/>
  <c r="I47" i="6"/>
  <c r="I45" i="6"/>
  <c r="I44" i="6"/>
  <c r="I42" i="6"/>
  <c r="I41" i="6"/>
  <c r="I40" i="6"/>
  <c r="I39" i="6"/>
  <c r="I38" i="6"/>
  <c r="I36" i="6"/>
  <c r="I35" i="6"/>
  <c r="I33" i="6"/>
  <c r="I32" i="6"/>
  <c r="I31" i="6"/>
  <c r="I30" i="6"/>
  <c r="I29" i="6"/>
  <c r="I28" i="6"/>
  <c r="I27" i="6"/>
  <c r="I26" i="6"/>
  <c r="I24" i="6"/>
  <c r="I22" i="6"/>
  <c r="I21" i="6"/>
  <c r="I20" i="6"/>
  <c r="I18" i="6"/>
  <c r="I16" i="6"/>
  <c r="I13" i="6"/>
  <c r="I12" i="6"/>
  <c r="I11" i="6"/>
  <c r="I9" i="6"/>
  <c r="I8" i="6"/>
  <c r="I7" i="6"/>
  <c r="P7" i="6" l="1"/>
  <c r="Y7" i="6" s="1"/>
  <c r="L60" i="6"/>
  <c r="S62" i="6" s="1"/>
  <c r="P49" i="6"/>
  <c r="Y49" i="6" s="1"/>
  <c r="P47" i="6"/>
  <c r="Y47" i="6" s="1"/>
  <c r="P39" i="6"/>
  <c r="Y39" i="6" s="1"/>
  <c r="P33" i="6"/>
  <c r="Y33" i="6" s="1"/>
  <c r="P29" i="6"/>
  <c r="Y29" i="6" s="1"/>
  <c r="P26" i="6"/>
  <c r="Y26" i="6" s="1"/>
  <c r="P15" i="6"/>
  <c r="Y15" i="6" s="1"/>
  <c r="P11" i="6"/>
  <c r="Y11" i="6" s="1"/>
  <c r="O60" i="6"/>
  <c r="V62" i="6" s="1"/>
  <c r="P45" i="6"/>
  <c r="Y45" i="6" s="1"/>
  <c r="P42" i="6"/>
  <c r="Y42" i="6" s="1"/>
  <c r="P38" i="6"/>
  <c r="Y38" i="6" s="1"/>
  <c r="P32" i="6"/>
  <c r="Y32" i="6" s="1"/>
  <c r="P28" i="6"/>
  <c r="Y28" i="6" s="1"/>
  <c r="P24" i="6"/>
  <c r="Y24" i="6" s="1"/>
  <c r="P20" i="6"/>
  <c r="Y20" i="6" s="1"/>
  <c r="P13" i="6"/>
  <c r="Y13" i="6" s="1"/>
  <c r="M60" i="6"/>
  <c r="T62" i="6" s="1"/>
  <c r="P9" i="6"/>
  <c r="Y9" i="6" s="1"/>
  <c r="N60" i="6"/>
  <c r="U62" i="6" s="1"/>
  <c r="P51" i="6"/>
  <c r="Y51" i="6" s="1"/>
  <c r="P48" i="6"/>
  <c r="Y48" i="6" s="1"/>
  <c r="P44" i="6"/>
  <c r="Y44" i="6" s="1"/>
  <c r="P41" i="6"/>
  <c r="Y41" i="6" s="1"/>
  <c r="P36" i="6"/>
  <c r="Y36" i="6" s="1"/>
  <c r="P31" i="6"/>
  <c r="Y31" i="6" s="1"/>
  <c r="P27" i="6"/>
  <c r="Y27" i="6" s="1"/>
  <c r="P22" i="6"/>
  <c r="Y22" i="6" s="1"/>
  <c r="P18" i="6"/>
  <c r="Y18" i="6" s="1"/>
  <c r="P12" i="6"/>
  <c r="Y12" i="6" s="1"/>
  <c r="P8" i="6"/>
  <c r="Y8" i="6" s="1"/>
  <c r="P50" i="6"/>
  <c r="Y50" i="6" s="1"/>
  <c r="P40" i="6"/>
  <c r="Y40" i="6" s="1"/>
  <c r="P35" i="6"/>
  <c r="Y35" i="6" s="1"/>
  <c r="P30" i="6"/>
  <c r="Y30" i="6" s="1"/>
  <c r="P21" i="6"/>
  <c r="Y21" i="6" s="1"/>
  <c r="P16" i="6"/>
  <c r="Y16" i="6" s="1"/>
  <c r="I15" i="6"/>
  <c r="I55" i="5" l="1"/>
  <c r="I70" i="5"/>
  <c r="I51" i="5"/>
  <c r="E12" i="5"/>
  <c r="F12" i="5"/>
  <c r="G12" i="5"/>
  <c r="H12" i="5"/>
  <c r="D12" i="5"/>
  <c r="I4" i="5"/>
  <c r="D35" i="5"/>
  <c r="D14" i="6" l="1"/>
  <c r="D80" i="5"/>
  <c r="I94" i="5"/>
  <c r="H80" i="5"/>
  <c r="H91" i="5" s="1"/>
  <c r="G80" i="5"/>
  <c r="G91" i="5" s="1"/>
  <c r="F80" i="5"/>
  <c r="F91" i="5" s="1"/>
  <c r="E80" i="5"/>
  <c r="E91" i="5" s="1"/>
  <c r="I79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4" i="5"/>
  <c r="I53" i="5"/>
  <c r="I52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H25" i="5"/>
  <c r="H85" i="5" s="1"/>
  <c r="H88" i="5" s="1"/>
  <c r="G25" i="5"/>
  <c r="F25" i="5"/>
  <c r="E25" i="5"/>
  <c r="D85" i="5"/>
  <c r="D88" i="5" s="1"/>
  <c r="I24" i="5"/>
  <c r="I17" i="5"/>
  <c r="I15" i="5"/>
  <c r="I14" i="5"/>
  <c r="I11" i="5"/>
  <c r="I6" i="5"/>
  <c r="I5" i="5"/>
  <c r="K14" i="6" l="1"/>
  <c r="I14" i="6"/>
  <c r="I60" i="6" s="1"/>
  <c r="D60" i="6"/>
  <c r="H99" i="5"/>
  <c r="V69" i="6" s="1"/>
  <c r="V67" i="6" s="1"/>
  <c r="G85" i="5"/>
  <c r="G88" i="5" s="1"/>
  <c r="F85" i="5"/>
  <c r="F88" i="5" s="1"/>
  <c r="E85" i="5"/>
  <c r="I12" i="5"/>
  <c r="I86" i="5"/>
  <c r="D82" i="5"/>
  <c r="G82" i="5"/>
  <c r="H82" i="5"/>
  <c r="I25" i="5"/>
  <c r="I80" i="5"/>
  <c r="E82" i="5"/>
  <c r="F82" i="5"/>
  <c r="K64" i="6" l="1"/>
  <c r="P14" i="6"/>
  <c r="K60" i="6"/>
  <c r="R62" i="6" s="1"/>
  <c r="E88" i="5"/>
  <c r="I88" i="5" s="1"/>
  <c r="G99" i="5"/>
  <c r="U69" i="6" s="1"/>
  <c r="U67" i="6" s="1"/>
  <c r="F99" i="5"/>
  <c r="T69" i="6" s="1"/>
  <c r="T67" i="6" s="1"/>
  <c r="E99" i="5"/>
  <c r="S69" i="6" s="1"/>
  <c r="S67" i="6" s="1"/>
  <c r="I85" i="5"/>
  <c r="I82" i="5"/>
  <c r="I91" i="5"/>
  <c r="Y14" i="6" l="1"/>
  <c r="Y60" i="6" s="1"/>
  <c r="P60" i="6"/>
  <c r="W62" i="6" s="1"/>
  <c r="K69" i="6"/>
  <c r="P64" i="6"/>
  <c r="D99" i="5"/>
  <c r="I99" i="5" s="1"/>
  <c r="I89" i="5"/>
  <c r="P66" i="6" l="1"/>
  <c r="R69" i="6"/>
  <c r="W69" i="6" l="1"/>
  <c r="W67" i="6"/>
</calcChain>
</file>

<file path=xl/comments1.xml><?xml version="1.0" encoding="utf-8"?>
<comments xmlns="http://schemas.openxmlformats.org/spreadsheetml/2006/main">
  <authors>
    <author>gzhkw6</author>
  </authors>
  <commentList>
    <comment ref="C8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SchM-DFIT assignment DFIT'18-dec update</t>
        </r>
      </text>
    </comment>
    <comment ref="C87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SchM-DFIT assignment DFIT'18-dec update</t>
        </r>
      </text>
    </comment>
  </commentList>
</comments>
</file>

<file path=xl/comments2.xml><?xml version="1.0" encoding="utf-8"?>
<comments xmlns="http://schemas.openxmlformats.org/spreadsheetml/2006/main">
  <authors>
    <author>gzhkw6</author>
  </authors>
  <commentList>
    <comment ref="K14" authorId="0" shapeId="0">
      <text>
        <r>
          <rPr>
            <b/>
            <sz val="9"/>
            <color indexed="81"/>
            <rFont val="Tahoma"/>
            <charset val="1"/>
          </rPr>
          <t>tlk:</t>
        </r>
        <r>
          <rPr>
            <sz val="9"/>
            <color indexed="81"/>
            <rFont val="Tahoma"/>
            <charset val="1"/>
          </rPr>
          <t xml:space="preserve">
complete amortization as designed (flow through tax change difference)</t>
        </r>
      </text>
    </comment>
    <comment ref="K17" authorId="0" shapeId="0">
      <text>
        <r>
          <rPr>
            <b/>
            <sz val="9"/>
            <color indexed="81"/>
            <rFont val="Tahoma"/>
            <charset val="1"/>
          </rPr>
          <t>tlk:</t>
        </r>
        <r>
          <rPr>
            <sz val="9"/>
            <color indexed="81"/>
            <rFont val="Tahoma"/>
            <charset val="1"/>
          </rPr>
          <t xml:space="preserve">
complete amortization as designed (flow through tax change difference)</t>
        </r>
      </text>
    </comment>
  </commentList>
</comments>
</file>

<file path=xl/sharedStrings.xml><?xml version="1.0" encoding="utf-8"?>
<sst xmlns="http://schemas.openxmlformats.org/spreadsheetml/2006/main" count="256" uniqueCount="115">
  <si>
    <t>Oregon Gas</t>
  </si>
  <si>
    <t>Idaho Gas</t>
  </si>
  <si>
    <t>Washington Gas</t>
  </si>
  <si>
    <t>Idaho Electric</t>
  </si>
  <si>
    <t>Washington Electric</t>
  </si>
  <si>
    <t>Jurisdiction Total</t>
  </si>
  <si>
    <t>Book Depreciation</t>
  </si>
  <si>
    <t>Contributions In Aid of Construction</t>
  </si>
  <si>
    <t>Injuries and Damages</t>
  </si>
  <si>
    <t>Boulder Park Write Off</t>
  </si>
  <si>
    <t>FAS106 Current Retiree Medical Accrual</t>
  </si>
  <si>
    <t>Idaho PCA</t>
  </si>
  <si>
    <t>DSM Book Amortization</t>
  </si>
  <si>
    <t>Deferred Gas Credit and Refunds</t>
  </si>
  <si>
    <t>Transportation Depreciation</t>
  </si>
  <si>
    <t>Airplane Lease Payments</t>
  </si>
  <si>
    <t>Redemption Expense</t>
  </si>
  <si>
    <t>Amort - Invest in Exch Pwr (405.92,.93,.95,.98)</t>
  </si>
  <si>
    <t>DSM Tariff Rider</t>
  </si>
  <si>
    <t>FAS87 Current Pension Accrual</t>
  </si>
  <si>
    <t>Kettle Falls Disallowance</t>
  </si>
  <si>
    <t>Uncollectibles</t>
  </si>
  <si>
    <t>Senate Bill 408</t>
  </si>
  <si>
    <t>Decoupling Mechanism</t>
  </si>
  <si>
    <t>Interest Rate Swaps</t>
  </si>
  <si>
    <t>Montana Hydro Settlement</t>
  </si>
  <si>
    <t>Washington Deferred Power Costs</t>
  </si>
  <si>
    <t>Non-Monetary Power Costs</t>
  </si>
  <si>
    <t>Section 199 Manufacturing Deduction</t>
  </si>
  <si>
    <t>Nez Perce Settlement</t>
  </si>
  <si>
    <t>AFUDC</t>
  </si>
  <si>
    <t>Tax Depreciation</t>
  </si>
  <si>
    <t>Renewable Energy Certificate Fees</t>
  </si>
  <si>
    <t>Spokane River Relicensing</t>
  </si>
  <si>
    <t>Spokane River Relicensing PME</t>
  </si>
  <si>
    <t>CDA Lake Settlement</t>
  </si>
  <si>
    <t>Amortization - Unbilled Revenue Add-Ins</t>
  </si>
  <si>
    <t>Book Transportation Depr</t>
  </si>
  <si>
    <t>Deferred Compensation</t>
  </si>
  <si>
    <t>Meal Disallowances</t>
  </si>
  <si>
    <t>Paid Time Off</t>
  </si>
  <si>
    <t>Customer Uncollectibles</t>
  </si>
  <si>
    <t>FAS106 Post Retirement - OR</t>
  </si>
  <si>
    <t>FAS87 Pension Benefits - OR</t>
  </si>
  <si>
    <t>Redemption Expense Amortization - OR</t>
  </si>
  <si>
    <t>Deferred O&amp;M Colstrip &amp; CS2</t>
  </si>
  <si>
    <t>WA REC DEF</t>
  </si>
  <si>
    <t>CDA Settlement Costs</t>
  </si>
  <si>
    <t>Provision for Rate Refund</t>
  </si>
  <si>
    <t>Kettle Falls Diesel Leak</t>
  </si>
  <si>
    <t>WA REC Amort</t>
  </si>
  <si>
    <t>Repairs 481 (a)</t>
  </si>
  <si>
    <t>Amort Idaho Earnings Test (254229)</t>
  </si>
  <si>
    <t>Def Project Compass</t>
  </si>
  <si>
    <t>Spokane River TDG</t>
  </si>
  <si>
    <t>TOTAL Schedule Ms</t>
  </si>
  <si>
    <t>BPA Residential Exchange</t>
  </si>
  <si>
    <t>DSM Tariff Rider - 99 (G)</t>
  </si>
  <si>
    <t>Perm</t>
  </si>
  <si>
    <t>Plant</t>
  </si>
  <si>
    <t>Temp</t>
  </si>
  <si>
    <t>DFIT Plant - Calculated</t>
  </si>
  <si>
    <t>Other DFIT</t>
  </si>
  <si>
    <t>TOTAL DFIT Calculated using Schedule M's</t>
  </si>
  <si>
    <t>PER ROO DFIT</t>
  </si>
  <si>
    <t>Difference - Immaterial</t>
  </si>
  <si>
    <t>Due to Allocation of Expense in ROO</t>
  </si>
  <si>
    <t xml:space="preserve">Plant DFIT </t>
  </si>
  <si>
    <t>Colstrip Settlement</t>
  </si>
  <si>
    <t>WA Natural Gas Line Extension</t>
  </si>
  <si>
    <t>OR Regulatory Fee</t>
  </si>
  <si>
    <t>Schedule M</t>
  </si>
  <si>
    <t>GL DFIT</t>
  </si>
  <si>
    <t>CDAA</t>
  </si>
  <si>
    <t>CDAN</t>
  </si>
  <si>
    <t>EDAN</t>
  </si>
  <si>
    <t>GDAN</t>
  </si>
  <si>
    <t>Direct</t>
  </si>
  <si>
    <t>Allocated</t>
  </si>
  <si>
    <t>Direct per ROO</t>
  </si>
  <si>
    <t>N/A</t>
  </si>
  <si>
    <t>Rathdrum Turbine Lease</t>
  </si>
  <si>
    <t>MDM System</t>
  </si>
  <si>
    <t>Flow Through DFIT (estimated assignment)</t>
  </si>
  <si>
    <t>A</t>
  </si>
  <si>
    <t>D</t>
  </si>
  <si>
    <t>Plant &amp; Flow Through</t>
  </si>
  <si>
    <t>Overall Difference</t>
  </si>
  <si>
    <t>Temp Difference</t>
  </si>
  <si>
    <t>Segregate Direct vs Allocated</t>
  </si>
  <si>
    <t>Provision for Rate Refund - Tax Reform</t>
  </si>
  <si>
    <t>Tax Reform Amortization</t>
  </si>
  <si>
    <t>FISERVE</t>
  </si>
  <si>
    <t>Capitalized Transportation</t>
  </si>
  <si>
    <t>AFUDC Equity Tax Flow Through</t>
  </si>
  <si>
    <t>AFUDC Equity CWIP</t>
  </si>
  <si>
    <t>AFUDC Debt CWIP</t>
  </si>
  <si>
    <t>AFUDC Equity DFIT Deferral</t>
  </si>
  <si>
    <t>ARAM Amortization Flow Through DFIT</t>
  </si>
  <si>
    <t>Calculated DFIT @ -21% of Schedule M</t>
  </si>
  <si>
    <t>Note 12</t>
  </si>
  <si>
    <t>Note 7 x Note 12</t>
  </si>
  <si>
    <t>Note 9 x Note 12</t>
  </si>
  <si>
    <t>Difference in WA amount</t>
  </si>
  <si>
    <t>Finish amortization as scheduled flow through differenct</t>
  </si>
  <si>
    <t>added Prov for rate refund</t>
  </si>
  <si>
    <t>Tax Reform</t>
  </si>
  <si>
    <t>Tax Reform &amp; PGA</t>
  </si>
  <si>
    <t>not material difference</t>
  </si>
  <si>
    <t>WNP3, KF</t>
  </si>
  <si>
    <t>look at combined with amortization</t>
  </si>
  <si>
    <t>and Idaho PGA</t>
  </si>
  <si>
    <t>Idaho includes tax reform amortization</t>
  </si>
  <si>
    <t>ITC Flow Through DFIT and Allocation True-Up</t>
  </si>
  <si>
    <t>Other Flow-Through DFIT - Tax Reform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</si>
</sst>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_);[Red]\(#,##0\);&quot; &quot;"/>
    <numFmt numFmtId="165" formatCode="#,##0.00_);[Red]\(#,##0.00\);&quot; &quot;"/>
    <numFmt numFmtId="166" formatCode="0_);\(0\)"/>
    <numFmt numFmtId="167" formatCode="_(* #,##0_);_(* \(#,##0\);_(* &quot;-&quot;??_);_(@_)"/>
    <numFmt numFmtId="168" formatCode="0.0%"/>
    <numFmt numFmtId="169" formatCode="0.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3333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165" fontId="18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right"/>
    </xf>
    <xf numFmtId="165" fontId="19" fillId="0" borderId="0" xfId="0" applyNumberFormat="1" applyFont="1" applyAlignment="1">
      <alignment horizontal="left"/>
    </xf>
    <xf numFmtId="166" fontId="18" fillId="0" borderId="0" xfId="0" applyNumberFormat="1" applyFont="1" applyAlignment="1">
      <alignment horizontal="left" wrapText="1"/>
    </xf>
    <xf numFmtId="166" fontId="18" fillId="0" borderId="0" xfId="0" applyNumberFormat="1" applyFont="1" applyAlignment="1">
      <alignment horizontal="left"/>
    </xf>
    <xf numFmtId="166" fontId="19" fillId="0" borderId="0" xfId="0" applyNumberFormat="1" applyFont="1" applyAlignment="1">
      <alignment horizontal="left"/>
    </xf>
    <xf numFmtId="167" fontId="18" fillId="0" borderId="10" xfId="1" applyNumberFormat="1" applyFont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64" fontId="18" fillId="0" borderId="12" xfId="0" applyNumberFormat="1" applyFont="1" applyBorder="1" applyAlignment="1">
      <alignment horizontal="right"/>
    </xf>
    <xf numFmtId="164" fontId="18" fillId="0" borderId="0" xfId="0" applyNumberFormat="1" applyFont="1" applyFill="1" applyAlignment="1">
      <alignment horizontal="right"/>
    </xf>
    <xf numFmtId="9" fontId="18" fillId="0" borderId="0" xfId="2" applyFont="1" applyAlignment="1">
      <alignment horizontal="right"/>
    </xf>
    <xf numFmtId="167" fontId="18" fillId="0" borderId="0" xfId="1" applyNumberFormat="1" applyFont="1" applyAlignment="1">
      <alignment horizontal="right"/>
    </xf>
    <xf numFmtId="167" fontId="19" fillId="0" borderId="0" xfId="1" applyNumberFormat="1" applyFont="1" applyAlignment="1">
      <alignment horizontal="right"/>
    </xf>
    <xf numFmtId="168" fontId="18" fillId="0" borderId="0" xfId="2" applyNumberFormat="1" applyFont="1" applyAlignment="1">
      <alignment horizontal="right"/>
    </xf>
    <xf numFmtId="167" fontId="18" fillId="0" borderId="0" xfId="1" applyNumberFormat="1" applyFont="1" applyFill="1" applyAlignment="1">
      <alignment horizontal="right"/>
    </xf>
    <xf numFmtId="166" fontId="1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>
      <alignment horizontal="right"/>
    </xf>
    <xf numFmtId="167" fontId="0" fillId="0" borderId="0" xfId="0" applyNumberFormat="1"/>
    <xf numFmtId="169" fontId="0" fillId="0" borderId="0" xfId="2" applyNumberFormat="1" applyFont="1"/>
    <xf numFmtId="167" fontId="0" fillId="0" borderId="0" xfId="1" applyNumberFormat="1" applyFont="1"/>
    <xf numFmtId="167" fontId="0" fillId="33" borderId="0" xfId="1" applyNumberFormat="1" applyFont="1" applyFill="1"/>
    <xf numFmtId="167" fontId="0" fillId="34" borderId="0" xfId="1" applyNumberFormat="1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9" fontId="18" fillId="0" borderId="0" xfId="2" applyFont="1" applyAlignment="1">
      <alignment horizontal="left"/>
    </xf>
    <xf numFmtId="166" fontId="18" fillId="34" borderId="0" xfId="0" applyNumberFormat="1" applyFont="1" applyFill="1" applyAlignment="1">
      <alignment horizontal="left"/>
    </xf>
    <xf numFmtId="165" fontId="18" fillId="34" borderId="0" xfId="0" applyNumberFormat="1" applyFont="1" applyFill="1" applyAlignment="1">
      <alignment horizontal="left"/>
    </xf>
    <xf numFmtId="167" fontId="18" fillId="34" borderId="0" xfId="1" applyNumberFormat="1" applyFont="1" applyFill="1" applyAlignment="1">
      <alignment horizontal="right"/>
    </xf>
    <xf numFmtId="0" fontId="0" fillId="34" borderId="0" xfId="0" applyFill="1"/>
    <xf numFmtId="167" fontId="0" fillId="34" borderId="0" xfId="0" applyNumberFormat="1" applyFill="1"/>
    <xf numFmtId="167" fontId="20" fillId="34" borderId="0" xfId="1" applyNumberFormat="1" applyFont="1" applyFill="1"/>
    <xf numFmtId="167" fontId="21" fillId="0" borderId="0" xfId="1" applyNumberFormat="1" applyFont="1" applyAlignment="1">
      <alignment horizontal="right"/>
    </xf>
    <xf numFmtId="167" fontId="21" fillId="0" borderId="0" xfId="1" applyNumberFormat="1" applyFont="1" applyFill="1" applyAlignment="1">
      <alignment horizontal="right"/>
    </xf>
    <xf numFmtId="164" fontId="21" fillId="0" borderId="0" xfId="0" applyNumberFormat="1" applyFont="1" applyFill="1" applyAlignment="1">
      <alignment horizontal="right"/>
    </xf>
    <xf numFmtId="0" fontId="18" fillId="0" borderId="0" xfId="1" applyNumberFormat="1" applyFont="1" applyAlignment="1">
      <alignment horizontal="left"/>
    </xf>
    <xf numFmtId="164" fontId="18" fillId="0" borderId="0" xfId="0" applyNumberFormat="1" applyFont="1" applyBorder="1" applyAlignment="1">
      <alignment horizontal="left"/>
    </xf>
    <xf numFmtId="164" fontId="18" fillId="0" borderId="0" xfId="0" applyNumberFormat="1" applyFont="1" applyBorder="1" applyAlignment="1">
      <alignment horizontal="right"/>
    </xf>
    <xf numFmtId="164" fontId="18" fillId="0" borderId="13" xfId="0" applyNumberFormat="1" applyFont="1" applyBorder="1" applyAlignment="1">
      <alignment horizontal="right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100"/>
  <sheetViews>
    <sheetView topLeftCell="A55" workbookViewId="0">
      <selection activeCell="L97" sqref="L97"/>
    </sheetView>
  </sheetViews>
  <sheetFormatPr defaultRowHeight="10.199999999999999" x14ac:dyDescent="0.2"/>
  <cols>
    <col min="1" max="1" width="8.33203125" style="9" customWidth="1"/>
    <col min="2" max="2" width="28" style="2" customWidth="1"/>
    <col min="3" max="3" width="5.88671875" style="2" customWidth="1"/>
    <col min="4" max="9" width="10.77734375" style="1" customWidth="1"/>
    <col min="10" max="10" width="9.77734375" style="1" bestFit="1" customWidth="1"/>
    <col min="11" max="16384" width="8.88671875" style="1"/>
  </cols>
  <sheetData>
    <row r="1" spans="1:16" s="3" customFormat="1" x14ac:dyDescent="0.2">
      <c r="A1" s="8"/>
      <c r="B1" s="4"/>
      <c r="C1" s="4"/>
    </row>
    <row r="2" spans="1:16" s="3" customFormat="1" ht="20.399999999999999" x14ac:dyDescent="0.2">
      <c r="A2" s="8"/>
      <c r="B2" s="4"/>
      <c r="C2" s="4"/>
      <c r="D2" s="3" t="s">
        <v>4</v>
      </c>
      <c r="E2" s="3" t="s">
        <v>3</v>
      </c>
      <c r="F2" s="3" t="s">
        <v>2</v>
      </c>
      <c r="G2" s="3" t="s">
        <v>1</v>
      </c>
      <c r="H2" s="3" t="s">
        <v>0</v>
      </c>
      <c r="I2" s="3" t="s">
        <v>5</v>
      </c>
    </row>
    <row r="3" spans="1:16" s="3" customFormat="1" x14ac:dyDescent="0.2">
      <c r="A3" s="8"/>
      <c r="B3" s="4"/>
      <c r="C3" s="4"/>
    </row>
    <row r="4" spans="1:16" s="3" customFormat="1" x14ac:dyDescent="0.2">
      <c r="A4" s="9">
        <v>997015</v>
      </c>
      <c r="B4" s="5" t="s">
        <v>15</v>
      </c>
      <c r="C4" s="5" t="s">
        <v>58</v>
      </c>
      <c r="D4" s="38">
        <v>104838</v>
      </c>
      <c r="E4" s="38">
        <v>47998</v>
      </c>
      <c r="F4" s="38">
        <v>32363</v>
      </c>
      <c r="G4" s="38">
        <v>12417</v>
      </c>
      <c r="H4" s="38">
        <v>20301</v>
      </c>
      <c r="I4" s="16">
        <f>SUM(D4:H4)</f>
        <v>217917</v>
      </c>
    </row>
    <row r="5" spans="1:16" s="6" customFormat="1" x14ac:dyDescent="0.2">
      <c r="A5" s="9">
        <v>997017</v>
      </c>
      <c r="B5" s="5" t="s">
        <v>17</v>
      </c>
      <c r="C5" s="5" t="s">
        <v>58</v>
      </c>
      <c r="D5" s="39">
        <v>1192020</v>
      </c>
      <c r="E5" s="16">
        <v>0</v>
      </c>
      <c r="F5" s="16">
        <v>0</v>
      </c>
      <c r="G5" s="16">
        <v>0</v>
      </c>
      <c r="H5" s="16">
        <v>0</v>
      </c>
      <c r="I5" s="16">
        <f>SUM(D5:H5)</f>
        <v>1192020</v>
      </c>
    </row>
    <row r="6" spans="1:16" s="6" customFormat="1" x14ac:dyDescent="0.2">
      <c r="A6" s="9">
        <v>997045</v>
      </c>
      <c r="B6" s="5" t="s">
        <v>28</v>
      </c>
      <c r="C6" s="5" t="s">
        <v>58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f>SUM(D6:H6)</f>
        <v>0</v>
      </c>
    </row>
    <row r="7" spans="1:16" s="6" customFormat="1" x14ac:dyDescent="0.2">
      <c r="A7" s="9">
        <v>997082</v>
      </c>
      <c r="B7" s="5" t="s">
        <v>39</v>
      </c>
      <c r="C7" s="5" t="s">
        <v>58</v>
      </c>
      <c r="D7" s="38">
        <v>355767</v>
      </c>
      <c r="E7" s="38">
        <v>162881</v>
      </c>
      <c r="F7" s="38">
        <v>109825</v>
      </c>
      <c r="G7" s="38">
        <v>42135</v>
      </c>
      <c r="H7" s="38">
        <v>68892</v>
      </c>
      <c r="I7" s="16">
        <f>SUM(D7:H7)</f>
        <v>739500</v>
      </c>
    </row>
    <row r="8" spans="1:16" s="6" customFormat="1" x14ac:dyDescent="0.2">
      <c r="A8" s="9">
        <v>997112</v>
      </c>
      <c r="B8" s="5" t="s">
        <v>94</v>
      </c>
      <c r="C8" s="5" t="s">
        <v>58</v>
      </c>
      <c r="D8" s="38">
        <v>-2945063</v>
      </c>
      <c r="E8" s="38">
        <v>-1481672</v>
      </c>
      <c r="F8" s="38">
        <v>-355255</v>
      </c>
      <c r="G8" s="38">
        <v>-158528</v>
      </c>
      <c r="H8" s="38">
        <v>-256040</v>
      </c>
      <c r="I8" s="16">
        <f>SUM(D8:H8)</f>
        <v>-5196558</v>
      </c>
    </row>
    <row r="9" spans="1:16" s="6" customFormat="1" x14ac:dyDescent="0.2">
      <c r="A9" s="9">
        <v>997113</v>
      </c>
      <c r="B9" s="5" t="s">
        <v>95</v>
      </c>
      <c r="C9" s="5" t="s">
        <v>58</v>
      </c>
      <c r="D9" s="38">
        <v>-529669</v>
      </c>
      <c r="E9" s="38">
        <v>-266479</v>
      </c>
      <c r="F9" s="38">
        <v>-161291</v>
      </c>
      <c r="G9" s="38">
        <v>-71974</v>
      </c>
      <c r="H9" s="38">
        <v>-105752</v>
      </c>
      <c r="I9" s="16">
        <f t="shared" ref="I9:I10" si="0">SUM(D9:H9)</f>
        <v>-1135165</v>
      </c>
    </row>
    <row r="10" spans="1:16" s="6" customFormat="1" x14ac:dyDescent="0.2">
      <c r="A10" s="9"/>
      <c r="B10" s="5"/>
      <c r="C10" s="5"/>
      <c r="D10" s="38"/>
      <c r="E10" s="38"/>
      <c r="F10" s="38"/>
      <c r="G10" s="38"/>
      <c r="H10" s="38"/>
      <c r="I10" s="16">
        <f t="shared" si="0"/>
        <v>0</v>
      </c>
    </row>
    <row r="11" spans="1:16" s="6" customFormat="1" x14ac:dyDescent="0.2">
      <c r="A11" s="9"/>
      <c r="B11" s="5"/>
      <c r="C11" s="5"/>
      <c r="D11" s="38"/>
      <c r="E11" s="38"/>
      <c r="F11" s="38"/>
      <c r="G11" s="38"/>
      <c r="H11" s="38"/>
      <c r="I11" s="16">
        <f>SUM(D11:H11)</f>
        <v>0</v>
      </c>
    </row>
    <row r="12" spans="1:16" s="6" customFormat="1" x14ac:dyDescent="0.2">
      <c r="A12" s="9"/>
      <c r="B12" s="5"/>
      <c r="C12" s="5"/>
      <c r="D12" s="11">
        <f>SUM(D4:D11)</f>
        <v>-1822107</v>
      </c>
      <c r="E12" s="11">
        <f t="shared" ref="E12:I12" si="1">SUM(E4:E11)</f>
        <v>-1537272</v>
      </c>
      <c r="F12" s="11">
        <f t="shared" si="1"/>
        <v>-374358</v>
      </c>
      <c r="G12" s="11">
        <f t="shared" si="1"/>
        <v>-175950</v>
      </c>
      <c r="H12" s="11">
        <f t="shared" si="1"/>
        <v>-272599</v>
      </c>
      <c r="I12" s="11">
        <f t="shared" si="1"/>
        <v>-4182286</v>
      </c>
    </row>
    <row r="13" spans="1:16" s="6" customFormat="1" x14ac:dyDescent="0.2">
      <c r="A13" s="9"/>
      <c r="B13" s="5"/>
      <c r="C13" s="5"/>
      <c r="D13" s="16"/>
      <c r="E13" s="16"/>
      <c r="F13" s="16"/>
      <c r="G13" s="16"/>
      <c r="H13" s="16"/>
      <c r="I13" s="16"/>
    </row>
    <row r="14" spans="1:16" s="6" customFormat="1" x14ac:dyDescent="0.2">
      <c r="A14" s="9">
        <v>997000</v>
      </c>
      <c r="B14" s="5" t="s">
        <v>6</v>
      </c>
      <c r="C14" s="5" t="s">
        <v>59</v>
      </c>
      <c r="D14" s="38">
        <v>90465242</v>
      </c>
      <c r="E14" s="38">
        <v>45997302</v>
      </c>
      <c r="F14" s="38">
        <v>20760293</v>
      </c>
      <c r="G14" s="38">
        <v>8945047</v>
      </c>
      <c r="H14" s="38">
        <v>12765778</v>
      </c>
      <c r="I14" s="16">
        <f t="shared" ref="I14:I24" si="2">SUM(D14:H14)</f>
        <v>178933662</v>
      </c>
      <c r="K14" s="18"/>
      <c r="L14" s="18"/>
      <c r="M14" s="18"/>
      <c r="N14" s="18"/>
      <c r="O14" s="18"/>
      <c r="P14" s="18"/>
    </row>
    <row r="15" spans="1:16" s="6" customFormat="1" x14ac:dyDescent="0.2">
      <c r="A15" s="9">
        <v>997001</v>
      </c>
      <c r="B15" s="5" t="s">
        <v>7</v>
      </c>
      <c r="C15" s="5" t="s">
        <v>59</v>
      </c>
      <c r="D15" s="38">
        <v>4112142</v>
      </c>
      <c r="E15" s="38">
        <v>2068834</v>
      </c>
      <c r="F15" s="38">
        <v>826413</v>
      </c>
      <c r="G15" s="38">
        <v>368775</v>
      </c>
      <c r="H15" s="38">
        <v>94875</v>
      </c>
      <c r="I15" s="16">
        <f t="shared" si="2"/>
        <v>7471039</v>
      </c>
      <c r="K15" s="18"/>
      <c r="L15" s="18"/>
      <c r="M15" s="18"/>
      <c r="N15" s="18"/>
      <c r="O15" s="18"/>
      <c r="P15" s="18"/>
    </row>
    <row r="16" spans="1:16" s="6" customFormat="1" x14ac:dyDescent="0.2">
      <c r="A16" s="9">
        <v>997009</v>
      </c>
      <c r="B16" s="5" t="s">
        <v>81</v>
      </c>
      <c r="C16" s="5" t="s">
        <v>59</v>
      </c>
      <c r="D16" s="38">
        <v>-22116</v>
      </c>
      <c r="E16" s="38">
        <v>-11706</v>
      </c>
      <c r="F16" s="16">
        <v>0</v>
      </c>
      <c r="G16" s="16">
        <v>0</v>
      </c>
      <c r="H16" s="16">
        <v>0</v>
      </c>
      <c r="I16" s="16">
        <f>SUM(D16:H16)</f>
        <v>-33822</v>
      </c>
      <c r="K16" s="18"/>
      <c r="L16" s="18"/>
      <c r="M16" s="18"/>
      <c r="N16" s="18"/>
      <c r="O16" s="18"/>
      <c r="P16" s="18"/>
    </row>
    <row r="17" spans="1:16" s="6" customFormat="1" x14ac:dyDescent="0.2">
      <c r="A17" s="9">
        <v>997012</v>
      </c>
      <c r="B17" s="5" t="s">
        <v>14</v>
      </c>
      <c r="C17" s="5" t="s">
        <v>59</v>
      </c>
      <c r="D17" s="16">
        <v>0</v>
      </c>
      <c r="E17" s="16">
        <v>0</v>
      </c>
      <c r="F17" s="16">
        <v>0</v>
      </c>
      <c r="G17" s="16">
        <v>0</v>
      </c>
      <c r="H17" s="38">
        <v>1630111</v>
      </c>
      <c r="I17" s="16">
        <f t="shared" si="2"/>
        <v>1630111</v>
      </c>
      <c r="K17" s="18"/>
      <c r="L17" s="18"/>
      <c r="M17" s="18"/>
      <c r="N17" s="18"/>
      <c r="O17" s="18"/>
      <c r="P17" s="18"/>
    </row>
    <row r="18" spans="1:16" s="6" customFormat="1" x14ac:dyDescent="0.2">
      <c r="A18" s="9">
        <v>997048</v>
      </c>
      <c r="B18" s="5" t="s">
        <v>30</v>
      </c>
      <c r="C18" s="5" t="s">
        <v>59</v>
      </c>
      <c r="D18" s="38">
        <v>2012462</v>
      </c>
      <c r="E18" s="38">
        <v>1012477</v>
      </c>
      <c r="F18" s="38">
        <v>1174221</v>
      </c>
      <c r="G18" s="38">
        <v>523980</v>
      </c>
      <c r="H18" s="38">
        <v>861986</v>
      </c>
      <c r="I18" s="16">
        <f t="shared" ref="I18:I22" si="3">SUM(D18:H18)</f>
        <v>5585126</v>
      </c>
      <c r="K18" s="18"/>
      <c r="L18" s="18"/>
      <c r="M18" s="18"/>
      <c r="N18" s="18"/>
      <c r="O18" s="18"/>
      <c r="P18" s="18"/>
    </row>
    <row r="19" spans="1:16" s="6" customFormat="1" x14ac:dyDescent="0.2">
      <c r="A19" s="9">
        <v>997049</v>
      </c>
      <c r="B19" s="5" t="s">
        <v>31</v>
      </c>
      <c r="C19" s="5" t="s">
        <v>59</v>
      </c>
      <c r="D19" s="38">
        <v>-95808168</v>
      </c>
      <c r="E19" s="38">
        <v>-50562170</v>
      </c>
      <c r="F19" s="38">
        <v>-23808537</v>
      </c>
      <c r="G19" s="38">
        <v>-10654135</v>
      </c>
      <c r="H19" s="38">
        <v>-17878811</v>
      </c>
      <c r="I19" s="16">
        <f t="shared" si="3"/>
        <v>-198711821</v>
      </c>
      <c r="K19" s="18"/>
      <c r="L19" s="18"/>
      <c r="M19" s="18"/>
      <c r="N19" s="18"/>
      <c r="O19" s="18"/>
      <c r="P19" s="18"/>
    </row>
    <row r="20" spans="1:16" s="6" customFormat="1" x14ac:dyDescent="0.2">
      <c r="A20" s="9">
        <v>997080</v>
      </c>
      <c r="B20" s="5" t="s">
        <v>37</v>
      </c>
      <c r="C20" s="5" t="s">
        <v>59</v>
      </c>
      <c r="D20" s="38">
        <v>5654428</v>
      </c>
      <c r="E20" s="38">
        <v>2984090</v>
      </c>
      <c r="F20" s="38">
        <v>2314970</v>
      </c>
      <c r="G20" s="38">
        <v>1035931</v>
      </c>
      <c r="H20" s="16">
        <v>0</v>
      </c>
      <c r="I20" s="16">
        <f t="shared" si="3"/>
        <v>11989419</v>
      </c>
      <c r="K20" s="18"/>
      <c r="L20" s="18"/>
      <c r="M20" s="18"/>
      <c r="N20" s="18"/>
      <c r="O20" s="18"/>
      <c r="P20" s="18"/>
    </row>
    <row r="21" spans="1:16" s="6" customFormat="1" x14ac:dyDescent="0.2">
      <c r="A21" s="9">
        <v>997101</v>
      </c>
      <c r="B21" s="5" t="s">
        <v>51</v>
      </c>
      <c r="C21" s="5" t="s">
        <v>59</v>
      </c>
      <c r="D21" s="38">
        <v>-22010008</v>
      </c>
      <c r="E21" s="38">
        <v>-11649585</v>
      </c>
      <c r="F21" s="38">
        <v>-5024456</v>
      </c>
      <c r="G21" s="38">
        <v>-2242094</v>
      </c>
      <c r="H21" s="38">
        <v>-4718857</v>
      </c>
      <c r="I21" s="16">
        <f t="shared" si="3"/>
        <v>-45645000</v>
      </c>
      <c r="K21" s="18"/>
      <c r="L21" s="18"/>
      <c r="M21" s="18"/>
      <c r="N21" s="18"/>
      <c r="O21" s="18"/>
      <c r="P21" s="18"/>
    </row>
    <row r="22" spans="1:16" s="6" customFormat="1" x14ac:dyDescent="0.2">
      <c r="A22" s="9">
        <v>997111</v>
      </c>
      <c r="B22" s="5" t="s">
        <v>93</v>
      </c>
      <c r="C22" s="5" t="s">
        <v>59</v>
      </c>
      <c r="D22" s="38">
        <v>-559748</v>
      </c>
      <c r="E22" s="38">
        <v>-281612</v>
      </c>
      <c r="F22" s="38">
        <v>-170451</v>
      </c>
      <c r="G22" s="38">
        <v>-76061</v>
      </c>
      <c r="H22" s="38">
        <v>-111757</v>
      </c>
      <c r="I22" s="16">
        <f t="shared" si="3"/>
        <v>-1199629</v>
      </c>
      <c r="K22" s="18"/>
      <c r="L22" s="18"/>
      <c r="M22" s="18"/>
      <c r="N22" s="18"/>
      <c r="O22" s="18"/>
      <c r="P22" s="18"/>
    </row>
    <row r="23" spans="1:16" s="6" customFormat="1" x14ac:dyDescent="0.2">
      <c r="A23" s="9"/>
      <c r="B23" s="5"/>
      <c r="C23" s="5"/>
      <c r="D23" s="38"/>
      <c r="E23" s="38"/>
      <c r="F23" s="16"/>
      <c r="G23" s="16"/>
      <c r="H23" s="16"/>
      <c r="I23" s="16">
        <f t="shared" ref="I23" si="4">SUM(D23:H23)</f>
        <v>0</v>
      </c>
      <c r="K23" s="18"/>
      <c r="L23" s="18"/>
      <c r="M23" s="18"/>
      <c r="N23" s="18"/>
      <c r="O23" s="18"/>
      <c r="P23" s="18"/>
    </row>
    <row r="24" spans="1:16" s="6" customFormat="1" x14ac:dyDescent="0.2">
      <c r="A24" s="9"/>
      <c r="B24" s="5"/>
      <c r="C24" s="5"/>
      <c r="D24" s="38"/>
      <c r="E24" s="38"/>
      <c r="F24" s="16"/>
      <c r="G24" s="16"/>
      <c r="H24" s="16"/>
      <c r="I24" s="16">
        <f t="shared" si="2"/>
        <v>0</v>
      </c>
      <c r="K24" s="18"/>
      <c r="L24" s="18"/>
      <c r="M24" s="18"/>
      <c r="N24" s="18"/>
      <c r="O24" s="18"/>
      <c r="P24" s="18"/>
    </row>
    <row r="25" spans="1:16" s="6" customFormat="1" x14ac:dyDescent="0.2">
      <c r="A25" s="9"/>
      <c r="B25" s="5"/>
      <c r="C25" s="5"/>
      <c r="D25" s="11">
        <f>SUM(D14:D24)</f>
        <v>-16155766</v>
      </c>
      <c r="E25" s="11">
        <f t="shared" ref="E25:I25" si="5">SUM(E14:E24)</f>
        <v>-10442370</v>
      </c>
      <c r="F25" s="11">
        <f t="shared" si="5"/>
        <v>-3927547</v>
      </c>
      <c r="G25" s="11">
        <f t="shared" si="5"/>
        <v>-2098557</v>
      </c>
      <c r="H25" s="11">
        <f t="shared" si="5"/>
        <v>-7356675</v>
      </c>
      <c r="I25" s="11">
        <f t="shared" si="5"/>
        <v>-39980915</v>
      </c>
    </row>
    <row r="26" spans="1:16" s="6" customFormat="1" x14ac:dyDescent="0.2">
      <c r="A26" s="9"/>
      <c r="B26" s="5"/>
      <c r="C26" s="5"/>
      <c r="D26" s="15"/>
      <c r="E26" s="15"/>
      <c r="F26" s="15"/>
      <c r="G26" s="15"/>
      <c r="H26" s="15"/>
      <c r="I26" s="16"/>
    </row>
    <row r="27" spans="1:16" s="6" customFormat="1" x14ac:dyDescent="0.2">
      <c r="A27" s="9"/>
      <c r="B27" s="5"/>
      <c r="C27" s="5"/>
      <c r="D27" s="16"/>
      <c r="E27" s="16"/>
      <c r="F27" s="16"/>
      <c r="G27" s="16"/>
      <c r="H27" s="16"/>
      <c r="I27" s="16"/>
    </row>
    <row r="28" spans="1:16" s="6" customFormat="1" x14ac:dyDescent="0.2">
      <c r="A28" s="9">
        <v>997002</v>
      </c>
      <c r="B28" s="5" t="s">
        <v>8</v>
      </c>
      <c r="C28" s="5" t="s">
        <v>60</v>
      </c>
      <c r="D28" s="38">
        <v>0</v>
      </c>
      <c r="E28" s="38">
        <v>0</v>
      </c>
      <c r="F28" s="16">
        <v>0</v>
      </c>
      <c r="G28" s="16">
        <v>0</v>
      </c>
      <c r="H28" s="16">
        <v>0</v>
      </c>
      <c r="I28" s="16">
        <f t="shared" ref="I28:I79" si="6">SUM(D28:H28)</f>
        <v>0</v>
      </c>
    </row>
    <row r="29" spans="1:16" s="6" customFormat="1" x14ac:dyDescent="0.2">
      <c r="A29" s="9">
        <v>997004</v>
      </c>
      <c r="B29" s="5" t="s">
        <v>9</v>
      </c>
      <c r="C29" s="5" t="s">
        <v>60</v>
      </c>
      <c r="D29" s="16">
        <v>0</v>
      </c>
      <c r="E29" s="38">
        <v>-112280</v>
      </c>
      <c r="F29" s="16">
        <v>0</v>
      </c>
      <c r="G29" s="16">
        <v>0</v>
      </c>
      <c r="H29" s="16">
        <v>0</v>
      </c>
      <c r="I29" s="16">
        <f t="shared" si="6"/>
        <v>-112280</v>
      </c>
    </row>
    <row r="30" spans="1:16" s="6" customFormat="1" x14ac:dyDescent="0.2">
      <c r="A30" s="9">
        <v>997005</v>
      </c>
      <c r="B30" s="5" t="s">
        <v>10</v>
      </c>
      <c r="C30" s="5" t="s">
        <v>60</v>
      </c>
      <c r="D30" s="38">
        <v>862666</v>
      </c>
      <c r="E30" s="38">
        <v>394956</v>
      </c>
      <c r="F30" s="38">
        <v>266303</v>
      </c>
      <c r="G30" s="38">
        <v>102170</v>
      </c>
      <c r="H30" s="16">
        <v>0</v>
      </c>
      <c r="I30" s="16">
        <f t="shared" si="6"/>
        <v>1626095</v>
      </c>
    </row>
    <row r="31" spans="1:16" s="6" customFormat="1" x14ac:dyDescent="0.2">
      <c r="A31" s="9">
        <v>997007</v>
      </c>
      <c r="B31" s="5" t="s">
        <v>11</v>
      </c>
      <c r="C31" s="5" t="s">
        <v>60</v>
      </c>
      <c r="D31" s="16">
        <v>0</v>
      </c>
      <c r="E31" s="38">
        <v>1328438</v>
      </c>
      <c r="F31" s="16">
        <v>0</v>
      </c>
      <c r="G31" s="16">
        <v>0</v>
      </c>
      <c r="H31" s="16">
        <v>0</v>
      </c>
      <c r="I31" s="16">
        <f t="shared" si="6"/>
        <v>1328438</v>
      </c>
    </row>
    <row r="32" spans="1:16" s="6" customFormat="1" x14ac:dyDescent="0.2">
      <c r="A32" s="9">
        <v>997008</v>
      </c>
      <c r="B32" s="5" t="s">
        <v>12</v>
      </c>
      <c r="C32" s="5" t="s">
        <v>60</v>
      </c>
      <c r="D32" s="16">
        <v>0</v>
      </c>
      <c r="E32" s="16">
        <v>0</v>
      </c>
      <c r="F32" s="16">
        <v>0</v>
      </c>
      <c r="G32" s="16">
        <v>0</v>
      </c>
      <c r="H32" s="38">
        <v>-23659</v>
      </c>
      <c r="I32" s="16">
        <f t="shared" si="6"/>
        <v>-23659</v>
      </c>
    </row>
    <row r="33" spans="1:9" s="6" customFormat="1" x14ac:dyDescent="0.2">
      <c r="A33" s="9">
        <v>997010</v>
      </c>
      <c r="B33" s="5" t="s">
        <v>13</v>
      </c>
      <c r="C33" s="5" t="s">
        <v>60</v>
      </c>
      <c r="D33" s="16">
        <v>0</v>
      </c>
      <c r="E33" s="16">
        <v>0</v>
      </c>
      <c r="F33" s="38">
        <v>959430</v>
      </c>
      <c r="G33" s="38">
        <f>1875006-G73</f>
        <v>1875006</v>
      </c>
      <c r="H33" s="38">
        <v>-976197</v>
      </c>
      <c r="I33" s="16">
        <f t="shared" si="6"/>
        <v>1858239</v>
      </c>
    </row>
    <row r="34" spans="1:9" s="6" customFormat="1" x14ac:dyDescent="0.2">
      <c r="A34" s="9">
        <v>997016</v>
      </c>
      <c r="B34" s="5" t="s">
        <v>16</v>
      </c>
      <c r="C34" s="5" t="s">
        <v>60</v>
      </c>
      <c r="D34" s="38">
        <v>744769</v>
      </c>
      <c r="E34" s="38">
        <v>374696</v>
      </c>
      <c r="F34" s="38">
        <v>178543</v>
      </c>
      <c r="G34" s="38">
        <v>79672</v>
      </c>
      <c r="H34" s="16">
        <v>0</v>
      </c>
      <c r="I34" s="16">
        <f t="shared" si="6"/>
        <v>1377680</v>
      </c>
    </row>
    <row r="35" spans="1:9" s="6" customFormat="1" x14ac:dyDescent="0.2">
      <c r="A35" s="9">
        <v>997017</v>
      </c>
      <c r="B35" s="5" t="s">
        <v>17</v>
      </c>
      <c r="C35" s="5" t="s">
        <v>60</v>
      </c>
      <c r="D35" s="39">
        <f>2450031-D5</f>
        <v>1258011</v>
      </c>
      <c r="E35" s="16">
        <v>0</v>
      </c>
      <c r="F35" s="16">
        <v>0</v>
      </c>
      <c r="G35" s="16">
        <v>0</v>
      </c>
      <c r="H35" s="16">
        <v>0</v>
      </c>
      <c r="I35" s="16">
        <f t="shared" si="6"/>
        <v>1258011</v>
      </c>
    </row>
    <row r="36" spans="1:9" s="6" customFormat="1" x14ac:dyDescent="0.2">
      <c r="A36" s="9">
        <v>997018</v>
      </c>
      <c r="B36" s="5" t="s">
        <v>18</v>
      </c>
      <c r="C36" s="5" t="s">
        <v>60</v>
      </c>
      <c r="D36" s="38">
        <v>2524113</v>
      </c>
      <c r="E36" s="38">
        <v>2440383</v>
      </c>
      <c r="F36" s="16">
        <v>0</v>
      </c>
      <c r="G36" s="16">
        <v>0</v>
      </c>
      <c r="H36" s="16">
        <v>0</v>
      </c>
      <c r="I36" s="16">
        <f t="shared" si="6"/>
        <v>4964496</v>
      </c>
    </row>
    <row r="37" spans="1:9" s="6" customFormat="1" x14ac:dyDescent="0.2">
      <c r="A37" s="9">
        <v>997020</v>
      </c>
      <c r="B37" s="5" t="s">
        <v>19</v>
      </c>
      <c r="C37" s="5" t="s">
        <v>60</v>
      </c>
      <c r="D37" s="38">
        <v>-464891</v>
      </c>
      <c r="E37" s="38">
        <v>-212842</v>
      </c>
      <c r="F37" s="38">
        <v>-143511</v>
      </c>
      <c r="G37" s="38">
        <v>-55060</v>
      </c>
      <c r="H37" s="16">
        <v>0</v>
      </c>
      <c r="I37" s="16">
        <f t="shared" si="6"/>
        <v>-876304</v>
      </c>
    </row>
    <row r="38" spans="1:9" s="6" customFormat="1" x14ac:dyDescent="0.2">
      <c r="A38" s="9">
        <v>997024</v>
      </c>
      <c r="B38" s="5" t="s">
        <v>20</v>
      </c>
      <c r="C38" s="5" t="s">
        <v>60</v>
      </c>
      <c r="D38" s="38">
        <v>-134592</v>
      </c>
      <c r="E38" s="16">
        <v>0</v>
      </c>
      <c r="F38" s="16">
        <v>0</v>
      </c>
      <c r="G38" s="16">
        <v>0</v>
      </c>
      <c r="H38" s="16">
        <v>0</v>
      </c>
      <c r="I38" s="16">
        <f t="shared" si="6"/>
        <v>-134592</v>
      </c>
    </row>
    <row r="39" spans="1:9" s="6" customFormat="1" x14ac:dyDescent="0.2">
      <c r="A39" s="9">
        <v>997027</v>
      </c>
      <c r="B39" s="5" t="s">
        <v>21</v>
      </c>
      <c r="C39" s="5" t="s">
        <v>60</v>
      </c>
      <c r="D39" s="16">
        <v>0</v>
      </c>
      <c r="E39" s="16">
        <v>0</v>
      </c>
      <c r="F39" s="16">
        <v>0</v>
      </c>
      <c r="G39" s="16">
        <v>0</v>
      </c>
      <c r="H39" s="38">
        <v>1683</v>
      </c>
      <c r="I39" s="16">
        <f t="shared" si="6"/>
        <v>1683</v>
      </c>
    </row>
    <row r="40" spans="1:9" s="6" customFormat="1" x14ac:dyDescent="0.2">
      <c r="A40" s="9">
        <v>997030</v>
      </c>
      <c r="B40" s="5" t="s">
        <v>22</v>
      </c>
      <c r="C40" s="5" t="s">
        <v>60</v>
      </c>
      <c r="D40" s="16">
        <v>0</v>
      </c>
      <c r="E40" s="16">
        <v>0</v>
      </c>
      <c r="F40" s="16">
        <v>0</v>
      </c>
      <c r="G40" s="16">
        <v>0</v>
      </c>
      <c r="H40" s="38">
        <v>0</v>
      </c>
      <c r="I40" s="16">
        <f t="shared" si="6"/>
        <v>0</v>
      </c>
    </row>
    <row r="41" spans="1:9" s="6" customFormat="1" x14ac:dyDescent="0.2">
      <c r="A41" s="9">
        <v>997031</v>
      </c>
      <c r="B41" s="5" t="s">
        <v>23</v>
      </c>
      <c r="C41" s="5" t="s">
        <v>60</v>
      </c>
      <c r="D41" s="38">
        <v>-5493339</v>
      </c>
      <c r="E41" s="38">
        <v>626480</v>
      </c>
      <c r="F41" s="38">
        <v>3641692</v>
      </c>
      <c r="G41" s="38">
        <v>705843</v>
      </c>
      <c r="H41" s="38">
        <v>-378320</v>
      </c>
      <c r="I41" s="16">
        <f t="shared" si="6"/>
        <v>-897644</v>
      </c>
    </row>
    <row r="42" spans="1:9" s="6" customFormat="1" x14ac:dyDescent="0.2">
      <c r="A42" s="9">
        <v>997032</v>
      </c>
      <c r="B42" s="5" t="s">
        <v>24</v>
      </c>
      <c r="C42" s="5" t="s">
        <v>60</v>
      </c>
      <c r="D42" s="38">
        <v>-10955984</v>
      </c>
      <c r="E42" s="38">
        <v>-5511999</v>
      </c>
      <c r="F42" s="38">
        <v>-3336239</v>
      </c>
      <c r="G42" s="38">
        <v>-1488750</v>
      </c>
      <c r="H42" s="38">
        <v>-2187435</v>
      </c>
      <c r="I42" s="16">
        <f t="shared" si="6"/>
        <v>-23480407</v>
      </c>
    </row>
    <row r="43" spans="1:9" s="6" customFormat="1" x14ac:dyDescent="0.2">
      <c r="A43" s="9">
        <v>997033</v>
      </c>
      <c r="B43" s="5" t="s">
        <v>56</v>
      </c>
      <c r="C43" s="5" t="s">
        <v>60</v>
      </c>
      <c r="D43" s="38">
        <v>29916</v>
      </c>
      <c r="E43" s="38">
        <v>16794</v>
      </c>
      <c r="F43" s="16"/>
      <c r="G43" s="16"/>
      <c r="H43" s="16"/>
      <c r="I43" s="16">
        <f t="shared" si="6"/>
        <v>46710</v>
      </c>
    </row>
    <row r="44" spans="1:9" s="6" customFormat="1" x14ac:dyDescent="0.2">
      <c r="A44" s="9">
        <v>997033</v>
      </c>
      <c r="B44" s="5" t="s">
        <v>57</v>
      </c>
      <c r="C44" s="5" t="s">
        <v>60</v>
      </c>
      <c r="D44" s="16"/>
      <c r="E44" s="16"/>
      <c r="F44" s="38">
        <v>-18349</v>
      </c>
      <c r="G44" s="38">
        <v>53298</v>
      </c>
      <c r="H44" s="38">
        <v>-249468</v>
      </c>
      <c r="I44" s="16">
        <f t="shared" si="6"/>
        <v>-214519</v>
      </c>
    </row>
    <row r="45" spans="1:9" s="6" customFormat="1" x14ac:dyDescent="0.2">
      <c r="A45" s="9">
        <v>997034</v>
      </c>
      <c r="B45" s="5" t="s">
        <v>25</v>
      </c>
      <c r="C45" s="5" t="s">
        <v>60</v>
      </c>
      <c r="D45" s="38">
        <v>3200843</v>
      </c>
      <c r="E45" s="38">
        <v>1697157</v>
      </c>
      <c r="F45" s="16">
        <v>0</v>
      </c>
      <c r="G45" s="16">
        <v>0</v>
      </c>
      <c r="H45" s="16">
        <v>0</v>
      </c>
      <c r="I45" s="16">
        <f t="shared" si="6"/>
        <v>4898000</v>
      </c>
    </row>
    <row r="46" spans="1:9" s="6" customFormat="1" x14ac:dyDescent="0.2">
      <c r="A46" s="9">
        <v>997043</v>
      </c>
      <c r="B46" s="5" t="s">
        <v>26</v>
      </c>
      <c r="C46" s="5" t="s">
        <v>60</v>
      </c>
      <c r="D46" s="38">
        <v>9524258</v>
      </c>
      <c r="E46" s="16">
        <v>0</v>
      </c>
      <c r="F46" s="16">
        <v>0</v>
      </c>
      <c r="G46" s="16">
        <v>0</v>
      </c>
      <c r="H46" s="16">
        <v>0</v>
      </c>
      <c r="I46" s="16">
        <f t="shared" si="6"/>
        <v>9524258</v>
      </c>
    </row>
    <row r="47" spans="1:9" s="6" customFormat="1" x14ac:dyDescent="0.2">
      <c r="A47" s="9">
        <v>997044</v>
      </c>
      <c r="B47" s="5" t="s">
        <v>27</v>
      </c>
      <c r="C47" s="5" t="s">
        <v>60</v>
      </c>
      <c r="D47" s="38">
        <v>-170332</v>
      </c>
      <c r="E47" s="38">
        <v>-90155</v>
      </c>
      <c r="F47" s="16">
        <v>0</v>
      </c>
      <c r="G47" s="16">
        <v>0</v>
      </c>
      <c r="H47" s="16">
        <v>0</v>
      </c>
      <c r="I47" s="16">
        <f t="shared" si="6"/>
        <v>-260487</v>
      </c>
    </row>
    <row r="48" spans="1:9" s="6" customFormat="1" x14ac:dyDescent="0.2">
      <c r="A48" s="9">
        <v>997046</v>
      </c>
      <c r="B48" s="5" t="s">
        <v>29</v>
      </c>
      <c r="C48" s="5" t="s">
        <v>60</v>
      </c>
      <c r="D48" s="38">
        <v>-22008</v>
      </c>
      <c r="E48" s="38">
        <v>5188</v>
      </c>
      <c r="F48" s="16">
        <v>0</v>
      </c>
      <c r="G48" s="16">
        <v>0</v>
      </c>
      <c r="H48" s="16">
        <v>0</v>
      </c>
      <c r="I48" s="16">
        <f t="shared" si="6"/>
        <v>-16820</v>
      </c>
    </row>
    <row r="49" spans="1:9" s="6" customFormat="1" x14ac:dyDescent="0.2">
      <c r="A49" s="9">
        <v>997053</v>
      </c>
      <c r="B49" s="5" t="s">
        <v>32</v>
      </c>
      <c r="C49" s="5" t="s">
        <v>60</v>
      </c>
      <c r="D49" s="38">
        <v>0</v>
      </c>
      <c r="E49" s="38">
        <v>0</v>
      </c>
      <c r="F49" s="16">
        <v>0</v>
      </c>
      <c r="G49" s="16">
        <v>0</v>
      </c>
      <c r="H49" s="16">
        <v>0</v>
      </c>
      <c r="I49" s="16">
        <f t="shared" si="6"/>
        <v>0</v>
      </c>
    </row>
    <row r="50" spans="1:9" s="6" customFormat="1" x14ac:dyDescent="0.2">
      <c r="A50" s="9">
        <v>997054</v>
      </c>
      <c r="B50" s="5" t="s">
        <v>33</v>
      </c>
      <c r="C50" s="5" t="s">
        <v>60</v>
      </c>
      <c r="D50" s="38">
        <v>72939</v>
      </c>
      <c r="E50" s="38">
        <v>5797</v>
      </c>
      <c r="F50" s="16">
        <v>0</v>
      </c>
      <c r="G50" s="16">
        <v>0</v>
      </c>
      <c r="H50" s="16">
        <v>0</v>
      </c>
      <c r="I50" s="16">
        <f t="shared" si="6"/>
        <v>78736</v>
      </c>
    </row>
    <row r="51" spans="1:9" s="6" customFormat="1" x14ac:dyDescent="0.2">
      <c r="A51" s="9">
        <v>997058</v>
      </c>
      <c r="B51" s="5" t="s">
        <v>68</v>
      </c>
      <c r="C51" s="5" t="s">
        <v>60</v>
      </c>
      <c r="D51" s="38">
        <v>0</v>
      </c>
      <c r="E51" s="38">
        <v>0</v>
      </c>
      <c r="F51" s="16">
        <v>0</v>
      </c>
      <c r="G51" s="16">
        <v>0</v>
      </c>
      <c r="H51" s="16">
        <v>0</v>
      </c>
      <c r="I51" s="16">
        <f t="shared" si="6"/>
        <v>0</v>
      </c>
    </row>
    <row r="52" spans="1:9" s="6" customFormat="1" x14ac:dyDescent="0.2">
      <c r="A52" s="9">
        <v>997059</v>
      </c>
      <c r="B52" s="5" t="s">
        <v>34</v>
      </c>
      <c r="C52" s="5" t="s">
        <v>60</v>
      </c>
      <c r="D52" s="38">
        <v>46316</v>
      </c>
      <c r="E52" s="38">
        <v>26996</v>
      </c>
      <c r="F52" s="16">
        <v>0</v>
      </c>
      <c r="G52" s="16">
        <v>0</v>
      </c>
      <c r="H52" s="16">
        <v>0</v>
      </c>
      <c r="I52" s="16">
        <f t="shared" si="6"/>
        <v>73312</v>
      </c>
    </row>
    <row r="53" spans="1:9" s="6" customFormat="1" x14ac:dyDescent="0.2">
      <c r="A53" s="9">
        <v>997063</v>
      </c>
      <c r="B53" s="5" t="s">
        <v>35</v>
      </c>
      <c r="C53" s="5" t="s">
        <v>60</v>
      </c>
      <c r="D53" s="38">
        <v>730222</v>
      </c>
      <c r="E53" s="38">
        <v>336957</v>
      </c>
      <c r="F53" s="16">
        <v>0</v>
      </c>
      <c r="G53" s="16">
        <v>0</v>
      </c>
      <c r="H53" s="16">
        <v>0</v>
      </c>
      <c r="I53" s="16">
        <f t="shared" si="6"/>
        <v>1067179</v>
      </c>
    </row>
    <row r="54" spans="1:9" s="6" customFormat="1" x14ac:dyDescent="0.2">
      <c r="A54" s="9">
        <v>997065</v>
      </c>
      <c r="B54" s="5" t="s">
        <v>36</v>
      </c>
      <c r="C54" s="5" t="s">
        <v>60</v>
      </c>
      <c r="D54" s="38">
        <v>35974</v>
      </c>
      <c r="E54" s="38">
        <v>-141743</v>
      </c>
      <c r="F54" s="38">
        <v>-278721</v>
      </c>
      <c r="G54" s="38">
        <v>-16851</v>
      </c>
      <c r="H54" s="38">
        <v>-32599</v>
      </c>
      <c r="I54" s="16">
        <f t="shared" si="6"/>
        <v>-433940</v>
      </c>
    </row>
    <row r="55" spans="1:9" s="22" customFormat="1" x14ac:dyDescent="0.2">
      <c r="A55" s="20">
        <v>997071</v>
      </c>
      <c r="B55" s="21" t="s">
        <v>70</v>
      </c>
      <c r="C55" s="21" t="s">
        <v>60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</row>
    <row r="56" spans="1:9" s="6" customFormat="1" x14ac:dyDescent="0.2">
      <c r="A56" s="9">
        <v>997081</v>
      </c>
      <c r="B56" s="5" t="s">
        <v>38</v>
      </c>
      <c r="C56" s="5" t="s">
        <v>60</v>
      </c>
      <c r="D56" s="38">
        <v>-528726</v>
      </c>
      <c r="E56" s="38">
        <v>-242068</v>
      </c>
      <c r="F56" s="38">
        <v>-163216</v>
      </c>
      <c r="G56" s="38">
        <v>-62620</v>
      </c>
      <c r="H56" s="38">
        <v>-102384</v>
      </c>
      <c r="I56" s="16">
        <f t="shared" si="6"/>
        <v>-1099014</v>
      </c>
    </row>
    <row r="57" spans="1:9" s="6" customFormat="1" x14ac:dyDescent="0.2">
      <c r="A57" s="9">
        <v>997083</v>
      </c>
      <c r="B57" s="5" t="s">
        <v>40</v>
      </c>
      <c r="C57" s="5" t="s">
        <v>60</v>
      </c>
      <c r="D57" s="38">
        <v>157003</v>
      </c>
      <c r="E57" s="38">
        <v>71881</v>
      </c>
      <c r="F57" s="38">
        <v>48466</v>
      </c>
      <c r="G57" s="38">
        <v>18595</v>
      </c>
      <c r="H57" s="38">
        <v>30403</v>
      </c>
      <c r="I57" s="16">
        <f t="shared" si="6"/>
        <v>326348</v>
      </c>
    </row>
    <row r="58" spans="1:9" s="6" customFormat="1" x14ac:dyDescent="0.2">
      <c r="A58" s="9">
        <v>997084</v>
      </c>
      <c r="B58" s="5" t="s">
        <v>41</v>
      </c>
      <c r="C58" s="5" t="s">
        <v>60</v>
      </c>
      <c r="D58" s="38">
        <v>8316</v>
      </c>
      <c r="E58" s="38">
        <v>4353</v>
      </c>
      <c r="F58" s="38">
        <v>2461</v>
      </c>
      <c r="G58" s="38">
        <v>1251</v>
      </c>
      <c r="H58" s="16">
        <v>0</v>
      </c>
      <c r="I58" s="16">
        <f t="shared" si="6"/>
        <v>16381</v>
      </c>
    </row>
    <row r="59" spans="1:9" s="6" customFormat="1" x14ac:dyDescent="0.2">
      <c r="A59" s="9">
        <v>997085</v>
      </c>
      <c r="B59" s="5" t="s">
        <v>42</v>
      </c>
      <c r="C59" s="5" t="s">
        <v>60</v>
      </c>
      <c r="D59" s="16">
        <v>0</v>
      </c>
      <c r="E59" s="16">
        <v>0</v>
      </c>
      <c r="F59" s="16">
        <v>0</v>
      </c>
      <c r="G59" s="16">
        <v>0</v>
      </c>
      <c r="H59" s="38">
        <v>167049</v>
      </c>
      <c r="I59" s="16">
        <f t="shared" si="6"/>
        <v>167049</v>
      </c>
    </row>
    <row r="60" spans="1:9" s="6" customFormat="1" x14ac:dyDescent="0.2">
      <c r="A60" s="9">
        <v>997086</v>
      </c>
      <c r="B60" s="5" t="s">
        <v>43</v>
      </c>
      <c r="C60" s="5" t="s">
        <v>60</v>
      </c>
      <c r="D60" s="16">
        <v>0</v>
      </c>
      <c r="E60" s="16">
        <v>0</v>
      </c>
      <c r="F60" s="16">
        <v>0</v>
      </c>
      <c r="G60" s="16">
        <v>0</v>
      </c>
      <c r="H60" s="38">
        <v>-90023</v>
      </c>
      <c r="I60" s="16">
        <f t="shared" si="6"/>
        <v>-90023</v>
      </c>
    </row>
    <row r="61" spans="1:9" s="6" customFormat="1" x14ac:dyDescent="0.2">
      <c r="A61" s="9">
        <v>997087</v>
      </c>
      <c r="B61" s="5" t="s">
        <v>44</v>
      </c>
      <c r="C61" s="5" t="s">
        <v>60</v>
      </c>
      <c r="D61" s="16">
        <v>0</v>
      </c>
      <c r="E61" s="16">
        <v>0</v>
      </c>
      <c r="F61" s="16">
        <v>0</v>
      </c>
      <c r="G61" s="16">
        <v>0</v>
      </c>
      <c r="H61" s="38">
        <v>117063</v>
      </c>
      <c r="I61" s="16">
        <f t="shared" si="6"/>
        <v>117063</v>
      </c>
    </row>
    <row r="62" spans="1:9" s="6" customFormat="1" x14ac:dyDescent="0.2">
      <c r="A62" s="9">
        <v>997088</v>
      </c>
      <c r="B62" s="5" t="s">
        <v>45</v>
      </c>
      <c r="C62" s="5" t="s">
        <v>60</v>
      </c>
      <c r="D62" s="38">
        <v>0</v>
      </c>
      <c r="E62" s="38">
        <v>1973281</v>
      </c>
      <c r="F62" s="16">
        <v>0</v>
      </c>
      <c r="G62" s="16">
        <v>0</v>
      </c>
      <c r="H62" s="16">
        <v>0</v>
      </c>
      <c r="I62" s="16">
        <f t="shared" si="6"/>
        <v>1973281</v>
      </c>
    </row>
    <row r="63" spans="1:9" s="6" customFormat="1" x14ac:dyDescent="0.2">
      <c r="A63" s="9">
        <v>997095</v>
      </c>
      <c r="B63" s="5" t="s">
        <v>46</v>
      </c>
      <c r="C63" s="5" t="s">
        <v>60</v>
      </c>
      <c r="D63" s="38">
        <v>583268</v>
      </c>
      <c r="E63" s="38">
        <v>0</v>
      </c>
      <c r="F63" s="16">
        <v>0</v>
      </c>
      <c r="G63" s="16">
        <v>0</v>
      </c>
      <c r="H63" s="16">
        <v>0</v>
      </c>
      <c r="I63" s="16">
        <f t="shared" si="6"/>
        <v>583268</v>
      </c>
    </row>
    <row r="64" spans="1:9" s="6" customFormat="1" x14ac:dyDescent="0.2">
      <c r="A64" s="9">
        <v>997096</v>
      </c>
      <c r="B64" s="5" t="s">
        <v>47</v>
      </c>
      <c r="C64" s="5" t="s">
        <v>60</v>
      </c>
      <c r="D64" s="38">
        <v>21395</v>
      </c>
      <c r="E64" s="38">
        <v>11324</v>
      </c>
      <c r="F64" s="16">
        <v>0</v>
      </c>
      <c r="G64" s="16">
        <v>0</v>
      </c>
      <c r="H64" s="16">
        <v>0</v>
      </c>
      <c r="I64" s="16">
        <f t="shared" si="6"/>
        <v>32719</v>
      </c>
    </row>
    <row r="65" spans="1:9" s="6" customFormat="1" x14ac:dyDescent="0.2">
      <c r="A65" s="9">
        <v>997098</v>
      </c>
      <c r="B65" s="5" t="s">
        <v>48</v>
      </c>
      <c r="C65" s="5" t="s">
        <v>60</v>
      </c>
      <c r="D65" s="38">
        <v>373826</v>
      </c>
      <c r="E65" s="38">
        <v>-1487081</v>
      </c>
      <c r="F65" s="38">
        <v>806740</v>
      </c>
      <c r="G65" s="16">
        <v>0</v>
      </c>
      <c r="H65" s="16">
        <v>0</v>
      </c>
      <c r="I65" s="16">
        <f t="shared" si="6"/>
        <v>-306515</v>
      </c>
    </row>
    <row r="66" spans="1:9" s="6" customFormat="1" x14ac:dyDescent="0.2">
      <c r="A66" s="9">
        <v>997099</v>
      </c>
      <c r="B66" s="5" t="s">
        <v>49</v>
      </c>
      <c r="C66" s="5" t="s">
        <v>60</v>
      </c>
      <c r="D66" s="38">
        <v>-96550</v>
      </c>
      <c r="E66" s="38">
        <v>-51102</v>
      </c>
      <c r="F66" s="16">
        <v>0</v>
      </c>
      <c r="G66" s="16">
        <v>0</v>
      </c>
      <c r="H66" s="16">
        <v>0</v>
      </c>
      <c r="I66" s="16">
        <f t="shared" si="6"/>
        <v>-147652</v>
      </c>
    </row>
    <row r="67" spans="1:9" s="6" customFormat="1" x14ac:dyDescent="0.2">
      <c r="A67" s="9">
        <v>997100</v>
      </c>
      <c r="B67" s="5" t="s">
        <v>50</v>
      </c>
      <c r="C67" s="5" t="s">
        <v>60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f t="shared" si="6"/>
        <v>0</v>
      </c>
    </row>
    <row r="68" spans="1:9" s="6" customFormat="1" x14ac:dyDescent="0.2">
      <c r="A68" s="9">
        <v>997102</v>
      </c>
      <c r="B68" s="5" t="s">
        <v>52</v>
      </c>
      <c r="C68" s="5" t="s">
        <v>60</v>
      </c>
      <c r="D68" s="16">
        <v>0</v>
      </c>
      <c r="E68" s="38">
        <v>-23524</v>
      </c>
      <c r="F68" s="16">
        <v>0</v>
      </c>
      <c r="G68" s="38">
        <v>-65272</v>
      </c>
      <c r="H68" s="16">
        <v>0</v>
      </c>
      <c r="I68" s="16">
        <f t="shared" si="6"/>
        <v>-88796</v>
      </c>
    </row>
    <row r="69" spans="1:9" s="6" customFormat="1" x14ac:dyDescent="0.2">
      <c r="A69" s="9">
        <v>997103</v>
      </c>
      <c r="B69" s="5" t="s">
        <v>53</v>
      </c>
      <c r="C69" s="5" t="s">
        <v>60</v>
      </c>
      <c r="D69" s="16">
        <v>0</v>
      </c>
      <c r="E69" s="38">
        <v>668590</v>
      </c>
      <c r="F69" s="16">
        <v>0</v>
      </c>
      <c r="G69" s="38">
        <v>168136</v>
      </c>
      <c r="H69" s="16">
        <v>0</v>
      </c>
      <c r="I69" s="16">
        <f t="shared" si="6"/>
        <v>836726</v>
      </c>
    </row>
    <row r="70" spans="1:9" s="6" customFormat="1" x14ac:dyDescent="0.2">
      <c r="A70" s="9">
        <v>997104</v>
      </c>
      <c r="B70" s="5" t="s">
        <v>54</v>
      </c>
      <c r="C70" s="5" t="s">
        <v>60</v>
      </c>
      <c r="D70" s="16">
        <v>0</v>
      </c>
      <c r="E70" s="38">
        <v>117223</v>
      </c>
      <c r="F70" s="16">
        <v>0</v>
      </c>
      <c r="G70" s="16">
        <v>0</v>
      </c>
      <c r="H70" s="16">
        <v>0</v>
      </c>
      <c r="I70" s="16">
        <f t="shared" ref="I70" si="7">SUM(D70:H70)</f>
        <v>117223</v>
      </c>
    </row>
    <row r="71" spans="1:9" s="6" customFormat="1" x14ac:dyDescent="0.2">
      <c r="A71" s="9">
        <v>997105</v>
      </c>
      <c r="B71" s="5" t="s">
        <v>69</v>
      </c>
      <c r="C71" s="5" t="s">
        <v>60</v>
      </c>
      <c r="D71" s="16">
        <v>0</v>
      </c>
      <c r="E71" s="16">
        <v>0</v>
      </c>
      <c r="F71" s="38">
        <v>-3058661</v>
      </c>
      <c r="G71" s="16">
        <v>0</v>
      </c>
      <c r="H71" s="16">
        <v>0</v>
      </c>
      <c r="I71" s="16">
        <f t="shared" ref="I71:I78" si="8">SUM(D71:H71)</f>
        <v>-3058661</v>
      </c>
    </row>
    <row r="72" spans="1:9" s="6" customFormat="1" x14ac:dyDescent="0.2">
      <c r="A72" s="9">
        <v>997107</v>
      </c>
      <c r="B72" s="5" t="s">
        <v>82</v>
      </c>
      <c r="C72" s="5" t="s">
        <v>60</v>
      </c>
      <c r="D72" s="38">
        <v>-2309890</v>
      </c>
      <c r="E72" s="16">
        <v>0</v>
      </c>
      <c r="F72" s="38">
        <v>-768733</v>
      </c>
      <c r="G72" s="16">
        <v>0</v>
      </c>
      <c r="H72" s="38">
        <v>249000</v>
      </c>
      <c r="I72" s="16">
        <f t="shared" si="8"/>
        <v>-2829623</v>
      </c>
    </row>
    <row r="73" spans="1:9" s="6" customFormat="1" x14ac:dyDescent="0.2">
      <c r="A73" s="9">
        <v>997108</v>
      </c>
      <c r="B73" s="5" t="s">
        <v>90</v>
      </c>
      <c r="C73" s="5" t="s">
        <v>60</v>
      </c>
      <c r="D73" s="38">
        <v>8232480</v>
      </c>
      <c r="E73" s="38">
        <v>5766452</v>
      </c>
      <c r="F73" s="38">
        <v>2183047</v>
      </c>
      <c r="G73" s="16"/>
      <c r="H73" s="38">
        <v>3462301</v>
      </c>
      <c r="I73" s="16">
        <f t="shared" si="8"/>
        <v>19644280</v>
      </c>
    </row>
    <row r="74" spans="1:9" s="6" customFormat="1" x14ac:dyDescent="0.2">
      <c r="A74" s="9">
        <v>997109</v>
      </c>
      <c r="B74" s="5" t="s">
        <v>91</v>
      </c>
      <c r="C74" s="5" t="s">
        <v>60</v>
      </c>
      <c r="D74" s="38">
        <v>-3592370</v>
      </c>
      <c r="E74" s="38">
        <v>-77067</v>
      </c>
      <c r="F74" s="38">
        <v>-785871</v>
      </c>
      <c r="G74" s="38">
        <v>-8685</v>
      </c>
      <c r="H74" s="38">
        <v>-157912</v>
      </c>
      <c r="I74" s="16">
        <f t="shared" si="8"/>
        <v>-4621905</v>
      </c>
    </row>
    <row r="75" spans="1:9" s="6" customFormat="1" x14ac:dyDescent="0.2">
      <c r="A75" s="9">
        <v>997110</v>
      </c>
      <c r="B75" s="5" t="s">
        <v>92</v>
      </c>
      <c r="C75" s="5" t="s">
        <v>60</v>
      </c>
      <c r="D75" s="38">
        <v>-527418</v>
      </c>
      <c r="E75" s="38">
        <v>-246840</v>
      </c>
      <c r="F75" s="38">
        <v>-338627</v>
      </c>
      <c r="G75" s="38">
        <v>-158491</v>
      </c>
      <c r="H75" s="38">
        <v>20301</v>
      </c>
      <c r="I75" s="16">
        <f t="shared" si="8"/>
        <v>-1251075</v>
      </c>
    </row>
    <row r="76" spans="1:9" s="6" customFormat="1" x14ac:dyDescent="0.2">
      <c r="A76" s="9">
        <v>997114</v>
      </c>
      <c r="B76" s="5" t="s">
        <v>96</v>
      </c>
      <c r="C76" s="5" t="s">
        <v>60</v>
      </c>
      <c r="D76" s="38">
        <v>-53368</v>
      </c>
      <c r="E76" s="38">
        <v>-26849</v>
      </c>
      <c r="F76" s="38">
        <v>-16251</v>
      </c>
      <c r="G76" s="38">
        <v>-7252</v>
      </c>
      <c r="H76" s="38">
        <v>-10655</v>
      </c>
      <c r="I76" s="16">
        <f t="shared" si="8"/>
        <v>-114375</v>
      </c>
    </row>
    <row r="77" spans="1:9" s="6" customFormat="1" x14ac:dyDescent="0.2">
      <c r="A77" s="9">
        <v>997115</v>
      </c>
      <c r="B77" s="5" t="s">
        <v>97</v>
      </c>
      <c r="C77" s="5" t="s">
        <v>60</v>
      </c>
      <c r="D77" s="38">
        <v>797405</v>
      </c>
      <c r="E77" s="38">
        <v>389404</v>
      </c>
      <c r="F77" s="38">
        <v>234951</v>
      </c>
      <c r="G77" s="38">
        <v>112774</v>
      </c>
      <c r="H77" s="38">
        <v>157643</v>
      </c>
      <c r="I77" s="16">
        <f t="shared" si="8"/>
        <v>1692177</v>
      </c>
    </row>
    <row r="78" spans="1:9" s="6" customFormat="1" x14ac:dyDescent="0.2">
      <c r="A78" s="9"/>
      <c r="B78" s="5"/>
      <c r="C78" s="5" t="s">
        <v>60</v>
      </c>
      <c r="D78" s="38"/>
      <c r="E78" s="38"/>
      <c r="F78" s="16"/>
      <c r="G78" s="16"/>
      <c r="H78" s="16"/>
      <c r="I78" s="16">
        <f t="shared" si="8"/>
        <v>0</v>
      </c>
    </row>
    <row r="79" spans="1:9" s="6" customFormat="1" x14ac:dyDescent="0.2">
      <c r="A79" s="9"/>
      <c r="B79" s="5"/>
      <c r="C79" s="5" t="s">
        <v>60</v>
      </c>
      <c r="D79" s="38"/>
      <c r="E79" s="16"/>
      <c r="F79" s="16"/>
      <c r="G79" s="16"/>
      <c r="H79" s="16"/>
      <c r="I79" s="16">
        <f t="shared" si="6"/>
        <v>0</v>
      </c>
    </row>
    <row r="80" spans="1:9" s="6" customFormat="1" x14ac:dyDescent="0.2">
      <c r="A80" s="9"/>
      <c r="B80" s="5"/>
      <c r="C80" s="5"/>
      <c r="D80" s="11">
        <f t="shared" ref="D80:I80" si="9">SUM(D28:D79)</f>
        <v>4854252</v>
      </c>
      <c r="E80" s="11">
        <f t="shared" si="9"/>
        <v>8032800</v>
      </c>
      <c r="F80" s="11">
        <f t="shared" si="9"/>
        <v>-586546</v>
      </c>
      <c r="G80" s="11">
        <f t="shared" si="9"/>
        <v>1253764</v>
      </c>
      <c r="H80" s="11">
        <f t="shared" si="9"/>
        <v>-3209</v>
      </c>
      <c r="I80" s="11">
        <f t="shared" si="9"/>
        <v>13551061</v>
      </c>
    </row>
    <row r="81" spans="1:20" s="6" customFormat="1" x14ac:dyDescent="0.2">
      <c r="A81" s="9"/>
      <c r="B81" s="5"/>
      <c r="C81" s="5"/>
      <c r="D81" s="16"/>
      <c r="E81" s="16"/>
      <c r="F81" s="16"/>
      <c r="G81" s="16"/>
      <c r="H81" s="16"/>
      <c r="I81" s="16"/>
    </row>
    <row r="82" spans="1:20" s="6" customFormat="1" x14ac:dyDescent="0.2">
      <c r="A82" s="10" t="s">
        <v>55</v>
      </c>
      <c r="B82" s="5"/>
      <c r="C82" s="5"/>
      <c r="D82" s="16">
        <f t="shared" ref="D82:I82" si="10">SUM(D80,D25,D12)</f>
        <v>-13123621</v>
      </c>
      <c r="E82" s="16">
        <f t="shared" si="10"/>
        <v>-3946842</v>
      </c>
      <c r="F82" s="16">
        <f t="shared" si="10"/>
        <v>-4888451</v>
      </c>
      <c r="G82" s="16">
        <f t="shared" si="10"/>
        <v>-1020743</v>
      </c>
      <c r="H82" s="16">
        <f t="shared" si="10"/>
        <v>-7632483</v>
      </c>
      <c r="I82" s="16">
        <f t="shared" si="10"/>
        <v>-30612140</v>
      </c>
    </row>
    <row r="83" spans="1:20" s="6" customFormat="1" x14ac:dyDescent="0.2">
      <c r="A83" s="10"/>
      <c r="B83" s="7"/>
      <c r="C83" s="7"/>
      <c r="D83" s="17"/>
      <c r="E83" s="17"/>
      <c r="F83" s="17"/>
      <c r="G83" s="17"/>
      <c r="H83" s="17"/>
      <c r="I83" s="17"/>
    </row>
    <row r="84" spans="1:20" ht="1.2" customHeight="1" x14ac:dyDescent="0.2">
      <c r="T84" s="1">
        <f>SUM(T63:T82)</f>
        <v>0</v>
      </c>
    </row>
    <row r="85" spans="1:20" x14ac:dyDescent="0.2">
      <c r="B85" s="2" t="s">
        <v>61</v>
      </c>
      <c r="C85" s="31">
        <v>-0.21</v>
      </c>
      <c r="D85" s="1">
        <f>D25*$C$85</f>
        <v>3392710.86</v>
      </c>
      <c r="E85" s="1">
        <f>E25*$C$85</f>
        <v>2192897.6999999997</v>
      </c>
      <c r="F85" s="1">
        <f>F25*$C$85</f>
        <v>824784.87</v>
      </c>
      <c r="G85" s="1">
        <f>G25*$C$85</f>
        <v>440696.97</v>
      </c>
      <c r="H85" s="1">
        <f>H25*$C$85</f>
        <v>1544901.75</v>
      </c>
      <c r="I85" s="1">
        <f t="shared" ref="I85:I86" si="11">SUM(D85:H85)</f>
        <v>8395992.1499999985</v>
      </c>
    </row>
    <row r="86" spans="1:20" x14ac:dyDescent="0.2">
      <c r="B86" s="2" t="s">
        <v>83</v>
      </c>
      <c r="D86" s="14">
        <v>676447</v>
      </c>
      <c r="E86" s="14">
        <v>340323</v>
      </c>
      <c r="F86" s="14">
        <v>238917</v>
      </c>
      <c r="G86" s="14">
        <v>106614</v>
      </c>
      <c r="H86" s="14">
        <v>17329</v>
      </c>
      <c r="I86" s="1">
        <f t="shared" si="11"/>
        <v>1379630</v>
      </c>
      <c r="K86" s="14"/>
      <c r="L86" s="14"/>
      <c r="M86" s="14"/>
      <c r="N86" s="14"/>
      <c r="O86" s="14"/>
    </row>
    <row r="87" spans="1:20" x14ac:dyDescent="0.2">
      <c r="B87" s="42" t="s">
        <v>98</v>
      </c>
      <c r="C87" s="42"/>
      <c r="D87" s="43">
        <v>-4350334</v>
      </c>
      <c r="E87" s="43">
        <v>-2188670</v>
      </c>
      <c r="F87" s="43">
        <v>-844203</v>
      </c>
      <c r="G87" s="43">
        <v>-376714</v>
      </c>
      <c r="H87" s="43">
        <v>-495857.18028000003</v>
      </c>
      <c r="I87" s="43">
        <f t="shared" ref="I87:I88" si="12">SUM(D87:H87)</f>
        <v>-8255778.18028</v>
      </c>
      <c r="K87" s="14"/>
      <c r="L87" s="14"/>
      <c r="M87" s="14"/>
      <c r="N87" s="14"/>
      <c r="O87" s="14"/>
    </row>
    <row r="88" spans="1:20" x14ac:dyDescent="0.2">
      <c r="B88" s="2" t="s">
        <v>113</v>
      </c>
      <c r="D88" s="12">
        <f>D89-SUM(D85:D87)</f>
        <v>353808.71080000012</v>
      </c>
      <c r="E88" s="12">
        <f t="shared" ref="E88:H88" si="13">E89-SUM(E85:E87)</f>
        <v>-310010.27079999971</v>
      </c>
      <c r="F88" s="12">
        <f t="shared" si="13"/>
        <v>50234.129999999888</v>
      </c>
      <c r="G88" s="12">
        <f t="shared" si="13"/>
        <v>-50231.969999999972</v>
      </c>
      <c r="H88" s="12">
        <f t="shared" si="13"/>
        <v>0.43027999997138977</v>
      </c>
      <c r="I88" s="43">
        <f t="shared" si="12"/>
        <v>43801.030280000297</v>
      </c>
    </row>
    <row r="89" spans="1:20" x14ac:dyDescent="0.2">
      <c r="B89" s="2" t="s">
        <v>67</v>
      </c>
      <c r="D89" s="14">
        <f>37435+50904*0.69145</f>
        <v>72632.570800000001</v>
      </c>
      <c r="E89" s="14">
        <f>18834+50904*0.30855</f>
        <v>34540.429199999999</v>
      </c>
      <c r="F89" s="14">
        <v>269733</v>
      </c>
      <c r="G89" s="14">
        <v>120365</v>
      </c>
      <c r="H89" s="14">
        <v>1066374</v>
      </c>
      <c r="I89" s="44">
        <f>SUM(D89:H89)</f>
        <v>1563645</v>
      </c>
    </row>
    <row r="90" spans="1:20" x14ac:dyDescent="0.2">
      <c r="D90" s="14"/>
      <c r="E90" s="14"/>
      <c r="F90" s="14"/>
      <c r="G90" s="14"/>
      <c r="H90" s="14"/>
      <c r="I90" s="43"/>
    </row>
    <row r="91" spans="1:20" x14ac:dyDescent="0.2">
      <c r="B91" s="2" t="s">
        <v>62</v>
      </c>
      <c r="C91" s="31">
        <v>-0.21</v>
      </c>
      <c r="D91" s="1">
        <f>D80*$C$91</f>
        <v>-1019392.9199999999</v>
      </c>
      <c r="E91" s="1">
        <f>E80*$C$91</f>
        <v>-1686888</v>
      </c>
      <c r="F91" s="1">
        <f>F80*$C$91</f>
        <v>123174.65999999999</v>
      </c>
      <c r="G91" s="1">
        <f>G80*$C$91</f>
        <v>-263290.44</v>
      </c>
      <c r="H91" s="1">
        <f>H80*$C$91</f>
        <v>673.89</v>
      </c>
      <c r="I91" s="1">
        <f>SUM(D91:H91)</f>
        <v>-2845722.8099999996</v>
      </c>
    </row>
    <row r="92" spans="1:20" x14ac:dyDescent="0.2">
      <c r="B92" s="2" t="s">
        <v>114</v>
      </c>
      <c r="D92" s="1">
        <f>(D35+D38)*-(0.35-0.21)</f>
        <v>-157278.65999999997</v>
      </c>
      <c r="F92" s="1">
        <v>-339083</v>
      </c>
      <c r="G92" s="1">
        <v>289565</v>
      </c>
      <c r="I92" s="1">
        <f>SUM(D92:H92)</f>
        <v>-206796.65999999997</v>
      </c>
    </row>
    <row r="94" spans="1:20" x14ac:dyDescent="0.2">
      <c r="I94" s="1">
        <f>SUM(D94:H94)</f>
        <v>0</v>
      </c>
    </row>
    <row r="95" spans="1:20" ht="10.8" thickBot="1" x14ac:dyDescent="0.25">
      <c r="B95" s="2" t="s">
        <v>63</v>
      </c>
      <c r="D95" s="13">
        <f>SUM(D89,D92,D91)</f>
        <v>-1104039.0092</v>
      </c>
      <c r="E95" s="13">
        <f t="shared" ref="E95:H95" si="14">SUM(E89,E92,E91)</f>
        <v>-1652347.5708000001</v>
      </c>
      <c r="F95" s="13">
        <f t="shared" si="14"/>
        <v>53824.659999999989</v>
      </c>
      <c r="G95" s="13">
        <f t="shared" si="14"/>
        <v>146639.56</v>
      </c>
      <c r="H95" s="13">
        <f t="shared" si="14"/>
        <v>1067047.8899999999</v>
      </c>
      <c r="I95" s="13">
        <f>SUM(D95:H95)</f>
        <v>-1488874.47</v>
      </c>
    </row>
    <row r="97" spans="2:9" x14ac:dyDescent="0.2">
      <c r="B97" s="2" t="s">
        <v>64</v>
      </c>
      <c r="D97" s="40">
        <v>-1075441</v>
      </c>
      <c r="E97" s="40">
        <v>-1636726</v>
      </c>
      <c r="F97" s="40">
        <v>53874</v>
      </c>
      <c r="G97" s="40">
        <v>146588</v>
      </c>
      <c r="H97" s="40">
        <v>1067048</v>
      </c>
      <c r="I97" s="1">
        <f>SUM(D97:H97)</f>
        <v>-1444657</v>
      </c>
    </row>
    <row r="99" spans="2:9" x14ac:dyDescent="0.2">
      <c r="B99" s="2" t="s">
        <v>65</v>
      </c>
      <c r="D99" s="14">
        <f>D97-ROUND(D95,0)</f>
        <v>28598</v>
      </c>
      <c r="E99" s="14">
        <f t="shared" ref="E99:H99" si="15">E97-ROUND(E95,0)</f>
        <v>15622</v>
      </c>
      <c r="F99" s="14">
        <f t="shared" si="15"/>
        <v>49</v>
      </c>
      <c r="G99" s="14">
        <f t="shared" si="15"/>
        <v>-52</v>
      </c>
      <c r="H99" s="14">
        <f t="shared" si="15"/>
        <v>0</v>
      </c>
      <c r="I99" s="1">
        <f>SUM(D99:H99)</f>
        <v>44217</v>
      </c>
    </row>
    <row r="100" spans="2:9" x14ac:dyDescent="0.2">
      <c r="B100" s="2" t="s">
        <v>66</v>
      </c>
      <c r="D100" s="16"/>
      <c r="E100" s="16"/>
      <c r="F100" s="16"/>
      <c r="G100" s="16"/>
      <c r="H100" s="16"/>
      <c r="I100" s="16"/>
    </row>
  </sheetData>
  <printOptions horizontalCentered="1"/>
  <pageMargins left="0.25" right="0.25" top="0.75" bottom="0.75" header="0.5" footer="0.5"/>
  <pageSetup scale="80" orientation="portrait" r:id="rId1"/>
  <headerFooter>
    <oddFooter>&amp;C&amp;F / 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Z71"/>
  <sheetViews>
    <sheetView tabSelected="1" zoomScaleNormal="100" workbookViewId="0">
      <pane xSplit="2" ySplit="6" topLeftCell="J43" activePane="bottomRight" state="frozen"/>
      <selection pane="topRight" activeCell="C1" sqref="C1"/>
      <selection pane="bottomLeft" activeCell="A7" sqref="A7"/>
      <selection pane="bottomRight" activeCell="M69" sqref="M69:N69"/>
    </sheetView>
  </sheetViews>
  <sheetFormatPr defaultRowHeight="14.4" x14ac:dyDescent="0.3"/>
  <cols>
    <col min="1" max="1" width="7.21875" customWidth="1"/>
    <col min="2" max="2" width="24.77734375" customWidth="1"/>
    <col min="3" max="3" width="8.88671875" customWidth="1"/>
    <col min="4" max="5" width="10.77734375" hidden="1" customWidth="1"/>
    <col min="6" max="6" width="8.88671875" hidden="1" customWidth="1"/>
    <col min="7" max="7" width="9.77734375" hidden="1" customWidth="1"/>
    <col min="8" max="8" width="8.88671875" hidden="1" customWidth="1"/>
    <col min="9" max="9" width="10.33203125" hidden="1" customWidth="1"/>
    <col min="10" max="10" width="9.6640625" customWidth="1"/>
    <col min="11" max="12" width="10.44140625" customWidth="1"/>
    <col min="13" max="13" width="11.33203125" customWidth="1"/>
    <col min="14" max="14" width="10.77734375" customWidth="1"/>
    <col min="15" max="15" width="10.88671875" customWidth="1"/>
    <col min="16" max="16" width="13" customWidth="1"/>
    <col min="17" max="17" width="5.5546875" customWidth="1"/>
    <col min="18" max="18" width="10.88671875" customWidth="1"/>
    <col min="19" max="19" width="10.6640625" customWidth="1"/>
    <col min="20" max="21" width="10.5546875" bestFit="1" customWidth="1"/>
    <col min="22" max="22" width="10.33203125" customWidth="1"/>
    <col min="23" max="23" width="12.77734375" bestFit="1" customWidth="1"/>
    <col min="24" max="24" width="11.77734375" customWidth="1"/>
    <col min="25" max="25" width="11" customWidth="1"/>
  </cols>
  <sheetData>
    <row r="1" spans="1:26" ht="21.6" x14ac:dyDescent="0.3">
      <c r="D1" s="3" t="s">
        <v>4</v>
      </c>
      <c r="E1" s="3" t="s">
        <v>3</v>
      </c>
      <c r="F1" s="3" t="s">
        <v>2</v>
      </c>
      <c r="G1" s="3" t="s">
        <v>1</v>
      </c>
      <c r="H1" s="3" t="s">
        <v>0</v>
      </c>
      <c r="I1" s="3" t="s">
        <v>5</v>
      </c>
      <c r="K1" s="3" t="s">
        <v>4</v>
      </c>
      <c r="L1" s="3" t="s">
        <v>3</v>
      </c>
      <c r="M1" s="3" t="s">
        <v>2</v>
      </c>
      <c r="N1" s="3" t="s">
        <v>1</v>
      </c>
      <c r="O1" s="3" t="s">
        <v>0</v>
      </c>
      <c r="P1" s="3" t="s">
        <v>5</v>
      </c>
      <c r="R1" s="3" t="s">
        <v>4</v>
      </c>
      <c r="S1" s="3" t="s">
        <v>3</v>
      </c>
      <c r="T1" s="3" t="s">
        <v>2</v>
      </c>
      <c r="U1" s="3" t="s">
        <v>1</v>
      </c>
      <c r="V1" s="3" t="s">
        <v>0</v>
      </c>
      <c r="W1" s="3" t="s">
        <v>5</v>
      </c>
    </row>
    <row r="2" spans="1:26" x14ac:dyDescent="0.3">
      <c r="D2" s="3"/>
      <c r="E2" s="3"/>
      <c r="F2" s="3"/>
      <c r="G2" s="3"/>
      <c r="H2" s="3"/>
      <c r="I2" s="3"/>
      <c r="K2" s="3"/>
      <c r="L2" s="3"/>
      <c r="M2" s="3"/>
      <c r="N2" s="3"/>
      <c r="O2" s="3"/>
      <c r="P2" s="3"/>
      <c r="Q2" t="s">
        <v>75</v>
      </c>
      <c r="R2" s="24">
        <v>0.66529000000000005</v>
      </c>
      <c r="S2" s="24">
        <v>0.33471000000000001</v>
      </c>
      <c r="T2" s="24"/>
      <c r="U2" s="24"/>
      <c r="V2" s="24"/>
      <c r="W2" s="24">
        <f>SUM(R2:V2)</f>
        <v>1</v>
      </c>
      <c r="X2" t="s">
        <v>100</v>
      </c>
    </row>
    <row r="3" spans="1:26" x14ac:dyDescent="0.3">
      <c r="D3" s="3"/>
      <c r="E3" s="3"/>
      <c r="F3" s="3"/>
      <c r="G3" s="3"/>
      <c r="H3" s="3"/>
      <c r="I3" s="3"/>
      <c r="K3" s="3"/>
      <c r="L3" s="3"/>
      <c r="M3" s="3"/>
      <c r="N3" s="3"/>
      <c r="O3" s="3"/>
      <c r="P3" s="3"/>
      <c r="Q3" t="s">
        <v>76</v>
      </c>
      <c r="R3" s="24"/>
      <c r="S3" s="24"/>
      <c r="T3" s="24">
        <v>0.69145000000000001</v>
      </c>
      <c r="U3" s="24">
        <v>0.30854999999999999</v>
      </c>
      <c r="V3" s="24"/>
      <c r="W3" s="24">
        <f t="shared" ref="W3:W5" si="0">SUM(R3:V3)</f>
        <v>1</v>
      </c>
      <c r="X3" t="s">
        <v>100</v>
      </c>
    </row>
    <row r="4" spans="1:26" x14ac:dyDescent="0.3">
      <c r="D4" s="3"/>
      <c r="E4" s="3"/>
      <c r="F4" s="3"/>
      <c r="G4" s="3"/>
      <c r="H4" s="3"/>
      <c r="I4" s="3"/>
      <c r="K4" s="3"/>
      <c r="L4" s="3"/>
      <c r="M4" s="3"/>
      <c r="N4" s="3"/>
      <c r="O4" s="3"/>
      <c r="P4" s="3"/>
      <c r="Q4" t="s">
        <v>73</v>
      </c>
      <c r="R4" s="24">
        <f>R2*0.70135</f>
        <v>0.46660114150000004</v>
      </c>
      <c r="S4" s="24">
        <f>S2*0.70135</f>
        <v>0.23474885850000002</v>
      </c>
      <c r="T4" s="24">
        <f>T3*0.20549</f>
        <v>0.1420860605</v>
      </c>
      <c r="U4" s="24">
        <f>U3*0.20549</f>
        <v>6.3403939500000006E-2</v>
      </c>
      <c r="V4" s="24">
        <v>9.3160000000000007E-2</v>
      </c>
      <c r="W4" s="24">
        <f t="shared" si="0"/>
        <v>1</v>
      </c>
      <c r="X4" t="s">
        <v>101</v>
      </c>
    </row>
    <row r="5" spans="1:26" x14ac:dyDescent="0.3">
      <c r="D5" s="3"/>
      <c r="E5" s="3"/>
      <c r="F5" s="3"/>
      <c r="G5" s="3"/>
      <c r="H5" s="3"/>
      <c r="I5" s="3"/>
      <c r="K5" s="3"/>
      <c r="L5" s="3"/>
      <c r="M5" s="3"/>
      <c r="N5" s="3"/>
      <c r="O5" s="3"/>
      <c r="P5" s="3"/>
      <c r="Q5" t="s">
        <v>74</v>
      </c>
      <c r="R5" s="24">
        <f>R2*0.77714</f>
        <v>0.51702347060000009</v>
      </c>
      <c r="S5" s="24">
        <f>S2*0.77714</f>
        <v>0.26011652940000002</v>
      </c>
      <c r="T5" s="24">
        <f>T3*0.22286</f>
        <v>0.154096547</v>
      </c>
      <c r="U5" s="24">
        <f>U3*0.22286</f>
        <v>6.8763453000000002E-2</v>
      </c>
      <c r="V5" s="24"/>
      <c r="W5" s="24">
        <f t="shared" si="0"/>
        <v>1.0000000000000002</v>
      </c>
      <c r="X5" t="s">
        <v>102</v>
      </c>
    </row>
    <row r="6" spans="1:26" x14ac:dyDescent="0.3">
      <c r="B6" t="s">
        <v>71</v>
      </c>
      <c r="K6" t="s">
        <v>99</v>
      </c>
      <c r="R6" t="s">
        <v>72</v>
      </c>
    </row>
    <row r="7" spans="1:26" x14ac:dyDescent="0.3">
      <c r="A7" s="41">
        <f>'Sch M Summary '!A28</f>
        <v>997002</v>
      </c>
      <c r="B7" s="41" t="str">
        <f>'Sch M Summary '!B28</f>
        <v>Injuries and Damages</v>
      </c>
      <c r="C7" s="41" t="str">
        <f>'Sch M Summary '!C28</f>
        <v>Temp</v>
      </c>
      <c r="D7" s="16">
        <f>'Sch M Summary '!D28</f>
        <v>0</v>
      </c>
      <c r="E7" s="16">
        <f>'Sch M Summary '!E28</f>
        <v>0</v>
      </c>
      <c r="F7" s="16">
        <f>'Sch M Summary '!F28</f>
        <v>0</v>
      </c>
      <c r="G7" s="16">
        <f>'Sch M Summary '!G28</f>
        <v>0</v>
      </c>
      <c r="H7" s="16">
        <f>'Sch M Summary '!H28</f>
        <v>0</v>
      </c>
      <c r="I7" s="16">
        <f t="shared" ref="I7:I50" si="1">SUM(D7:H7)</f>
        <v>0</v>
      </c>
      <c r="K7" s="23">
        <f>D7*-0.21</f>
        <v>0</v>
      </c>
      <c r="L7" s="23">
        <f t="shared" ref="L7:O7" si="2">E7*-0.21</f>
        <v>0</v>
      </c>
      <c r="M7" s="23">
        <f t="shared" si="2"/>
        <v>0</v>
      </c>
      <c r="N7" s="23">
        <f t="shared" si="2"/>
        <v>0</v>
      </c>
      <c r="O7" s="23">
        <f t="shared" si="2"/>
        <v>0</v>
      </c>
      <c r="P7" s="23">
        <f>SUM(K7:O7)</f>
        <v>0</v>
      </c>
      <c r="Q7" s="30" t="s">
        <v>84</v>
      </c>
      <c r="R7" s="26">
        <f>X7*R2</f>
        <v>0</v>
      </c>
      <c r="S7" s="26">
        <f>X7*S2</f>
        <v>0</v>
      </c>
      <c r="T7" s="26">
        <f>0*T3</f>
        <v>0</v>
      </c>
      <c r="U7" s="26">
        <f>0*U3</f>
        <v>0</v>
      </c>
      <c r="V7" s="26">
        <v>0</v>
      </c>
      <c r="W7" s="26">
        <f>SUM(R7:V7)</f>
        <v>0</v>
      </c>
      <c r="X7" s="25">
        <v>0</v>
      </c>
      <c r="Y7" s="23">
        <f t="shared" ref="Y7:Y11" si="3">P7-W7</f>
        <v>0</v>
      </c>
    </row>
    <row r="8" spans="1:26" x14ac:dyDescent="0.3">
      <c r="A8" s="41">
        <f>'Sch M Summary '!A29</f>
        <v>997004</v>
      </c>
      <c r="B8" s="41" t="str">
        <f>'Sch M Summary '!B29</f>
        <v>Boulder Park Write Off</v>
      </c>
      <c r="C8" s="41" t="str">
        <f>'Sch M Summary '!C29</f>
        <v>Temp</v>
      </c>
      <c r="D8" s="16">
        <f>'Sch M Summary '!D29</f>
        <v>0</v>
      </c>
      <c r="E8" s="16">
        <f>'Sch M Summary '!E29</f>
        <v>-112280</v>
      </c>
      <c r="F8" s="16">
        <f>'Sch M Summary '!F29</f>
        <v>0</v>
      </c>
      <c r="G8" s="16">
        <f>'Sch M Summary '!G29</f>
        <v>0</v>
      </c>
      <c r="H8" s="16">
        <f>'Sch M Summary '!H29</f>
        <v>0</v>
      </c>
      <c r="I8" s="16">
        <f t="shared" si="1"/>
        <v>-112280</v>
      </c>
      <c r="K8" s="23">
        <f t="shared" ref="K8:K23" si="4">D8*-0.21</f>
        <v>0</v>
      </c>
      <c r="L8" s="23">
        <f t="shared" ref="L8:L23" si="5">E8*-0.21</f>
        <v>23578.799999999999</v>
      </c>
      <c r="M8" s="23">
        <f t="shared" ref="M8:M23" si="6">F8*-0.21</f>
        <v>0</v>
      </c>
      <c r="N8" s="23">
        <f t="shared" ref="N8:N24" si="7">G8*-0.21</f>
        <v>0</v>
      </c>
      <c r="O8" s="23">
        <f t="shared" ref="O8:O24" si="8">H8*-0.21</f>
        <v>0</v>
      </c>
      <c r="P8" s="23">
        <f t="shared" ref="P8:P52" si="9">SUM(K8:O8)</f>
        <v>23578.799999999999</v>
      </c>
      <c r="Q8" s="30" t="s">
        <v>85</v>
      </c>
      <c r="R8" s="27"/>
      <c r="S8" s="27">
        <v>23578.799999999999</v>
      </c>
      <c r="T8" s="27"/>
      <c r="U8" s="27"/>
      <c r="V8" s="27"/>
      <c r="W8" s="27">
        <f t="shared" ref="W8:W59" si="10">SUM(R8:V8)</f>
        <v>23578.799999999999</v>
      </c>
      <c r="Y8" s="23">
        <f t="shared" si="3"/>
        <v>0</v>
      </c>
    </row>
    <row r="9" spans="1:26" x14ac:dyDescent="0.3">
      <c r="A9" s="41">
        <f>'Sch M Summary '!A30</f>
        <v>997005</v>
      </c>
      <c r="B9" s="41" t="str">
        <f>'Sch M Summary '!B30</f>
        <v>FAS106 Current Retiree Medical Accrual</v>
      </c>
      <c r="C9" s="41" t="str">
        <f>'Sch M Summary '!C30</f>
        <v>Temp</v>
      </c>
      <c r="D9" s="16">
        <f>'Sch M Summary '!D30</f>
        <v>862666</v>
      </c>
      <c r="E9" s="16">
        <f>'Sch M Summary '!E30</f>
        <v>394956</v>
      </c>
      <c r="F9" s="16">
        <f>'Sch M Summary '!F30</f>
        <v>266303</v>
      </c>
      <c r="G9" s="16">
        <f>'Sch M Summary '!G30</f>
        <v>102170</v>
      </c>
      <c r="H9" s="16">
        <f>'Sch M Summary '!H30</f>
        <v>0</v>
      </c>
      <c r="I9" s="16">
        <f t="shared" si="1"/>
        <v>1626095</v>
      </c>
      <c r="K9" s="23">
        <f t="shared" si="4"/>
        <v>-181159.86</v>
      </c>
      <c r="L9" s="23">
        <f t="shared" si="5"/>
        <v>-82940.759999999995</v>
      </c>
      <c r="M9" s="23">
        <f t="shared" si="6"/>
        <v>-55923.63</v>
      </c>
      <c r="N9" s="23">
        <f t="shared" si="7"/>
        <v>-21455.7</v>
      </c>
      <c r="O9" s="23">
        <f t="shared" si="8"/>
        <v>0</v>
      </c>
      <c r="P9" s="23">
        <f t="shared" si="9"/>
        <v>-341479.95</v>
      </c>
      <c r="Q9" s="30" t="s">
        <v>84</v>
      </c>
      <c r="R9" s="26">
        <f>$X9*R$4</f>
        <v>-175703.52181571943</v>
      </c>
      <c r="S9" s="26">
        <f t="shared" ref="S9:U9" si="11">$X9*S$4</f>
        <v>-88397.128751280572</v>
      </c>
      <c r="T9" s="26">
        <f t="shared" si="11"/>
        <v>-53503.98661802541</v>
      </c>
      <c r="U9" s="26">
        <f t="shared" si="11"/>
        <v>-23875.414087774592</v>
      </c>
      <c r="V9" s="26"/>
      <c r="W9" s="26">
        <f t="shared" si="10"/>
        <v>-341480.05127280002</v>
      </c>
      <c r="X9" s="25">
        <f>-312500.48+12809.63-76869.57</f>
        <v>-376560.42</v>
      </c>
      <c r="Y9" s="23">
        <f t="shared" si="3"/>
        <v>0.10127280000597239</v>
      </c>
    </row>
    <row r="10" spans="1:26" x14ac:dyDescent="0.3">
      <c r="A10" s="41">
        <f>'Sch M Summary '!A31</f>
        <v>997007</v>
      </c>
      <c r="B10" s="41" t="str">
        <f>'Sch M Summary '!B31</f>
        <v>Idaho PCA</v>
      </c>
      <c r="C10" s="41" t="str">
        <f>'Sch M Summary '!C31</f>
        <v>Temp</v>
      </c>
      <c r="D10" s="16">
        <f>'Sch M Summary '!D31</f>
        <v>0</v>
      </c>
      <c r="E10" s="16">
        <f>'Sch M Summary '!E31</f>
        <v>1328438</v>
      </c>
      <c r="F10" s="16">
        <f>'Sch M Summary '!F31</f>
        <v>0</v>
      </c>
      <c r="G10" s="16">
        <f>'Sch M Summary '!G31</f>
        <v>0</v>
      </c>
      <c r="H10" s="16">
        <f>'Sch M Summary '!H31</f>
        <v>0</v>
      </c>
      <c r="I10" s="16">
        <f t="shared" ref="I10" si="12">SUM(D10:H10)</f>
        <v>1328438</v>
      </c>
      <c r="K10" s="23">
        <f t="shared" si="4"/>
        <v>0</v>
      </c>
      <c r="L10" s="23">
        <f t="shared" si="5"/>
        <v>-278971.98</v>
      </c>
      <c r="M10" s="23">
        <f t="shared" si="6"/>
        <v>0</v>
      </c>
      <c r="N10" s="23">
        <f t="shared" si="7"/>
        <v>0</v>
      </c>
      <c r="O10" s="23">
        <f t="shared" si="8"/>
        <v>0</v>
      </c>
      <c r="P10" s="23">
        <f t="shared" ref="P10" si="13">SUM(K10:O10)</f>
        <v>-278971.98</v>
      </c>
      <c r="Q10" s="30" t="s">
        <v>85</v>
      </c>
      <c r="R10" s="27"/>
      <c r="S10" s="27">
        <v>-278971.98</v>
      </c>
      <c r="T10" s="27"/>
      <c r="U10" s="27"/>
      <c r="V10" s="27"/>
      <c r="W10" s="27">
        <f t="shared" si="10"/>
        <v>-278971.98</v>
      </c>
      <c r="Y10" s="23">
        <f t="shared" si="3"/>
        <v>0</v>
      </c>
    </row>
    <row r="11" spans="1:26" x14ac:dyDescent="0.3">
      <c r="A11" s="41">
        <f>'Sch M Summary '!A32</f>
        <v>997008</v>
      </c>
      <c r="B11" s="41" t="str">
        <f>'Sch M Summary '!B32</f>
        <v>DSM Book Amortization</v>
      </c>
      <c r="C11" s="41" t="str">
        <f>'Sch M Summary '!C32</f>
        <v>Temp</v>
      </c>
      <c r="D11" s="16">
        <f>'Sch M Summary '!D32</f>
        <v>0</v>
      </c>
      <c r="E11" s="16">
        <f>'Sch M Summary '!E32</f>
        <v>0</v>
      </c>
      <c r="F11" s="16">
        <f>'Sch M Summary '!F32</f>
        <v>0</v>
      </c>
      <c r="G11" s="16">
        <f>'Sch M Summary '!G32</f>
        <v>0</v>
      </c>
      <c r="H11" s="16">
        <f>'Sch M Summary '!H32</f>
        <v>-23659</v>
      </c>
      <c r="I11" s="16">
        <f t="shared" si="1"/>
        <v>-23659</v>
      </c>
      <c r="K11" s="23">
        <f t="shared" si="4"/>
        <v>0</v>
      </c>
      <c r="L11" s="23">
        <f t="shared" si="5"/>
        <v>0</v>
      </c>
      <c r="M11" s="23">
        <f t="shared" si="6"/>
        <v>0</v>
      </c>
      <c r="N11" s="23">
        <f t="shared" si="7"/>
        <v>0</v>
      </c>
      <c r="O11" s="23">
        <f t="shared" si="8"/>
        <v>4968.3899999999994</v>
      </c>
      <c r="P11" s="23">
        <f t="shared" si="9"/>
        <v>4968.3899999999994</v>
      </c>
      <c r="Q11" s="30" t="s">
        <v>85</v>
      </c>
      <c r="R11" s="27"/>
      <c r="S11" s="27"/>
      <c r="T11" s="27"/>
      <c r="U11" s="27"/>
      <c r="V11" s="27">
        <v>4968.45</v>
      </c>
      <c r="W11" s="27">
        <f t="shared" si="10"/>
        <v>4968.45</v>
      </c>
      <c r="Y11" s="23">
        <f t="shared" si="3"/>
        <v>-6.0000000000400178E-2</v>
      </c>
    </row>
    <row r="12" spans="1:26" x14ac:dyDescent="0.3">
      <c r="A12" s="41">
        <f>'Sch M Summary '!A33</f>
        <v>997010</v>
      </c>
      <c r="B12" s="41" t="str">
        <f>'Sch M Summary '!B33</f>
        <v>Deferred Gas Credit and Refunds</v>
      </c>
      <c r="C12" s="41" t="str">
        <f>'Sch M Summary '!C33</f>
        <v>Temp</v>
      </c>
      <c r="D12" s="16">
        <f>'Sch M Summary '!D33</f>
        <v>0</v>
      </c>
      <c r="E12" s="16">
        <f>'Sch M Summary '!E33</f>
        <v>0</v>
      </c>
      <c r="F12" s="16">
        <f>'Sch M Summary '!F33</f>
        <v>959430</v>
      </c>
      <c r="G12" s="16">
        <f>'Sch M Summary '!G33</f>
        <v>1875006</v>
      </c>
      <c r="H12" s="16">
        <f>'Sch M Summary '!H33</f>
        <v>-976197</v>
      </c>
      <c r="I12" s="16">
        <f t="shared" si="1"/>
        <v>1858239</v>
      </c>
      <c r="K12" s="23">
        <f t="shared" si="4"/>
        <v>0</v>
      </c>
      <c r="L12" s="23">
        <f t="shared" si="5"/>
        <v>0</v>
      </c>
      <c r="M12" s="23">
        <f t="shared" si="6"/>
        <v>-201480.3</v>
      </c>
      <c r="N12" s="23">
        <f t="shared" si="7"/>
        <v>-393751.26</v>
      </c>
      <c r="O12" s="23">
        <f t="shared" si="8"/>
        <v>205001.37</v>
      </c>
      <c r="P12" s="23">
        <f t="shared" si="9"/>
        <v>-390230.19000000006</v>
      </c>
      <c r="Q12" s="30" t="s">
        <v>85</v>
      </c>
      <c r="R12" s="27"/>
      <c r="S12" s="27"/>
      <c r="T12" s="27">
        <v>-201480.32000000001</v>
      </c>
      <c r="U12" s="27">
        <v>-171318.51</v>
      </c>
      <c r="V12" s="27">
        <v>205001.28</v>
      </c>
      <c r="W12" s="27">
        <f t="shared" si="10"/>
        <v>-167797.55000000002</v>
      </c>
      <c r="Y12" s="23">
        <f t="shared" ref="Y12:Y59" si="14">P12-W12</f>
        <v>-222432.64000000004</v>
      </c>
      <c r="Z12" t="s">
        <v>112</v>
      </c>
    </row>
    <row r="13" spans="1:26" x14ac:dyDescent="0.3">
      <c r="A13" s="41">
        <f>'Sch M Summary '!A34</f>
        <v>997016</v>
      </c>
      <c r="B13" s="41" t="str">
        <f>'Sch M Summary '!B34</f>
        <v>Redemption Expense</v>
      </c>
      <c r="C13" s="41" t="str">
        <f>'Sch M Summary '!C34</f>
        <v>Temp</v>
      </c>
      <c r="D13" s="16">
        <f>'Sch M Summary '!D34</f>
        <v>744769</v>
      </c>
      <c r="E13" s="16">
        <f>'Sch M Summary '!E34</f>
        <v>374696</v>
      </c>
      <c r="F13" s="16">
        <f>'Sch M Summary '!F34</f>
        <v>178543</v>
      </c>
      <c r="G13" s="16">
        <f>'Sch M Summary '!G34</f>
        <v>79672</v>
      </c>
      <c r="H13" s="16">
        <f>'Sch M Summary '!H34</f>
        <v>0</v>
      </c>
      <c r="I13" s="16">
        <f t="shared" si="1"/>
        <v>1377680</v>
      </c>
      <c r="K13" s="23">
        <f t="shared" si="4"/>
        <v>-156401.49</v>
      </c>
      <c r="L13" s="23">
        <f t="shared" si="5"/>
        <v>-78686.16</v>
      </c>
      <c r="M13" s="23">
        <f t="shared" si="6"/>
        <v>-37494.03</v>
      </c>
      <c r="N13" s="23">
        <f t="shared" si="7"/>
        <v>-16731.12</v>
      </c>
      <c r="O13" s="23">
        <f t="shared" si="8"/>
        <v>0</v>
      </c>
      <c r="P13" s="23">
        <f t="shared" si="9"/>
        <v>-289312.8</v>
      </c>
      <c r="Q13" s="30" t="s">
        <v>84</v>
      </c>
      <c r="R13" s="26">
        <f>$X13*R$4-50013.96*R2</f>
        <v>-156401.54651998839</v>
      </c>
      <c r="S13" s="26">
        <f>$X13*S$4-50013.96*S2</f>
        <v>-78686.229517511631</v>
      </c>
      <c r="T13" s="26">
        <f t="shared" ref="T13:U13" si="15">$X13*T$4</f>
        <v>-37493.989338376123</v>
      </c>
      <c r="U13" s="26">
        <f t="shared" si="15"/>
        <v>-16731.174214123876</v>
      </c>
      <c r="V13" s="26"/>
      <c r="W13" s="26">
        <f>SUM(R13:V13)</f>
        <v>-289312.93958999997</v>
      </c>
      <c r="X13" s="25">
        <v>-263882.25</v>
      </c>
      <c r="Y13" s="23">
        <f>P13-W13</f>
        <v>0.13958999997703359</v>
      </c>
    </row>
    <row r="14" spans="1:26" x14ac:dyDescent="0.3">
      <c r="A14" s="41">
        <f>'Sch M Summary '!A35</f>
        <v>997017</v>
      </c>
      <c r="B14" s="41" t="str">
        <f>'Sch M Summary '!B35</f>
        <v>Amort - Invest in Exch Pwr (405.92,.93,.95,.98)</v>
      </c>
      <c r="C14" s="41" t="str">
        <f>'Sch M Summary '!C35</f>
        <v>Temp</v>
      </c>
      <c r="D14" s="16">
        <f>'Sch M Summary '!D35</f>
        <v>1258011</v>
      </c>
      <c r="E14" s="16">
        <f>'Sch M Summary '!E35</f>
        <v>0</v>
      </c>
      <c r="F14" s="16">
        <f>'Sch M Summary '!F35</f>
        <v>0</v>
      </c>
      <c r="G14" s="16">
        <f>'Sch M Summary '!G35</f>
        <v>0</v>
      </c>
      <c r="H14" s="16">
        <f>'Sch M Summary '!H35</f>
        <v>0</v>
      </c>
      <c r="I14" s="16">
        <f t="shared" ref="I14" si="16">SUM(D14:H14)</f>
        <v>1258011</v>
      </c>
      <c r="K14" s="23">
        <f t="shared" si="4"/>
        <v>-264182.31</v>
      </c>
      <c r="L14" s="23">
        <f t="shared" si="5"/>
        <v>0</v>
      </c>
      <c r="M14" s="23">
        <f t="shared" si="6"/>
        <v>0</v>
      </c>
      <c r="N14" s="23">
        <f t="shared" si="7"/>
        <v>0</v>
      </c>
      <c r="O14" s="23">
        <f t="shared" si="8"/>
        <v>0</v>
      </c>
      <c r="P14" s="23">
        <f t="shared" ref="P14" si="17">SUM(K14:O14)</f>
        <v>-264182.31</v>
      </c>
      <c r="Q14" s="30" t="s">
        <v>85</v>
      </c>
      <c r="R14" s="27">
        <v>-440304</v>
      </c>
      <c r="S14" s="27"/>
      <c r="T14" s="27"/>
      <c r="U14" s="27"/>
      <c r="V14" s="27"/>
      <c r="W14" s="27">
        <f t="shared" si="10"/>
        <v>-440304</v>
      </c>
      <c r="Y14" s="23">
        <f t="shared" si="14"/>
        <v>176121.69</v>
      </c>
      <c r="Z14" t="s">
        <v>104</v>
      </c>
    </row>
    <row r="15" spans="1:26" x14ac:dyDescent="0.3">
      <c r="A15" s="41">
        <f>'Sch M Summary '!A36</f>
        <v>997018</v>
      </c>
      <c r="B15" s="41" t="str">
        <f>'Sch M Summary '!B36</f>
        <v>DSM Tariff Rider</v>
      </c>
      <c r="C15" s="41" t="str">
        <f>'Sch M Summary '!C36</f>
        <v>Temp</v>
      </c>
      <c r="D15" s="16">
        <f>'Sch M Summary '!D36</f>
        <v>2524113</v>
      </c>
      <c r="E15" s="16">
        <f>'Sch M Summary '!E36</f>
        <v>2440383</v>
      </c>
      <c r="F15" s="16">
        <f>'Sch M Summary '!F36</f>
        <v>0</v>
      </c>
      <c r="G15" s="16">
        <f>'Sch M Summary '!G36</f>
        <v>0</v>
      </c>
      <c r="H15" s="16">
        <f>'Sch M Summary '!H36</f>
        <v>0</v>
      </c>
      <c r="I15" s="16">
        <f t="shared" si="1"/>
        <v>4964496</v>
      </c>
      <c r="K15" s="23">
        <f t="shared" si="4"/>
        <v>-530063.73</v>
      </c>
      <c r="L15" s="23">
        <f t="shared" si="5"/>
        <v>-512480.43</v>
      </c>
      <c r="M15" s="23">
        <f t="shared" si="6"/>
        <v>0</v>
      </c>
      <c r="N15" s="23">
        <f t="shared" si="7"/>
        <v>0</v>
      </c>
      <c r="O15" s="23">
        <f t="shared" si="8"/>
        <v>0</v>
      </c>
      <c r="P15" s="23">
        <f t="shared" si="9"/>
        <v>-1042544.1599999999</v>
      </c>
      <c r="Q15" s="30" t="s">
        <v>85</v>
      </c>
      <c r="R15" s="27">
        <v>-530063.66</v>
      </c>
      <c r="S15" s="27">
        <v>-512480.51</v>
      </c>
      <c r="T15" s="27"/>
      <c r="U15" s="27"/>
      <c r="V15" s="27"/>
      <c r="W15" s="27">
        <f t="shared" si="10"/>
        <v>-1042544.17</v>
      </c>
      <c r="Y15" s="23">
        <f t="shared" si="14"/>
        <v>1.0000000125728548E-2</v>
      </c>
      <c r="Z15" t="s">
        <v>103</v>
      </c>
    </row>
    <row r="16" spans="1:26" x14ac:dyDescent="0.3">
      <c r="A16" s="41">
        <f>'Sch M Summary '!A37</f>
        <v>997020</v>
      </c>
      <c r="B16" s="41" t="str">
        <f>'Sch M Summary '!B37</f>
        <v>FAS87 Current Pension Accrual</v>
      </c>
      <c r="C16" s="41" t="str">
        <f>'Sch M Summary '!C37</f>
        <v>Temp</v>
      </c>
      <c r="D16" s="16">
        <f>'Sch M Summary '!D37</f>
        <v>-464891</v>
      </c>
      <c r="E16" s="16">
        <f>'Sch M Summary '!E37</f>
        <v>-212842</v>
      </c>
      <c r="F16" s="16">
        <f>'Sch M Summary '!F37</f>
        <v>-143511</v>
      </c>
      <c r="G16" s="16">
        <f>'Sch M Summary '!G37</f>
        <v>-55060</v>
      </c>
      <c r="H16" s="16">
        <f>'Sch M Summary '!H37</f>
        <v>0</v>
      </c>
      <c r="I16" s="16">
        <f t="shared" si="1"/>
        <v>-876304</v>
      </c>
      <c r="K16" s="23">
        <f t="shared" si="4"/>
        <v>97627.11</v>
      </c>
      <c r="L16" s="23">
        <f t="shared" si="5"/>
        <v>44696.82</v>
      </c>
      <c r="M16" s="23">
        <f t="shared" si="6"/>
        <v>30137.309999999998</v>
      </c>
      <c r="N16" s="23">
        <f t="shared" si="7"/>
        <v>11562.6</v>
      </c>
      <c r="O16" s="23">
        <f t="shared" si="8"/>
        <v>0</v>
      </c>
      <c r="P16" s="23">
        <f t="shared" si="9"/>
        <v>184023.84</v>
      </c>
      <c r="Q16" s="30" t="s">
        <v>84</v>
      </c>
      <c r="R16" s="26">
        <f>$X16*R$4</f>
        <v>94686.749065076816</v>
      </c>
      <c r="S16" s="26">
        <f t="shared" ref="S16:V18" si="18">$X16*S$4</f>
        <v>47637.273639423205</v>
      </c>
      <c r="T16" s="26">
        <f t="shared" si="18"/>
        <v>28833.335282804535</v>
      </c>
      <c r="U16" s="26">
        <f t="shared" si="18"/>
        <v>12866.477115495467</v>
      </c>
      <c r="V16" s="26"/>
      <c r="W16" s="26">
        <f t="shared" ref="W16" si="19">SUM(R16:V16)</f>
        <v>184023.83510280002</v>
      </c>
      <c r="X16" s="25">
        <f>202928.67</f>
        <v>202928.67</v>
      </c>
      <c r="Y16" s="23">
        <f t="shared" si="14"/>
        <v>4.8971999785862863E-3</v>
      </c>
    </row>
    <row r="17" spans="1:26" x14ac:dyDescent="0.3">
      <c r="A17" s="41">
        <f>'Sch M Summary '!A38</f>
        <v>997024</v>
      </c>
      <c r="B17" s="41" t="str">
        <f>'Sch M Summary '!B38</f>
        <v>Kettle Falls Disallowance</v>
      </c>
      <c r="C17" s="41" t="str">
        <f>'Sch M Summary '!C38</f>
        <v>Temp</v>
      </c>
      <c r="D17" s="16">
        <f>'Sch M Summary '!D38</f>
        <v>-134592</v>
      </c>
      <c r="E17" s="16">
        <f>'Sch M Summary '!E38</f>
        <v>0</v>
      </c>
      <c r="F17" s="16">
        <f>'Sch M Summary '!F38</f>
        <v>0</v>
      </c>
      <c r="G17" s="16">
        <f>'Sch M Summary '!G38</f>
        <v>0</v>
      </c>
      <c r="H17" s="16">
        <f>'Sch M Summary '!H38</f>
        <v>0</v>
      </c>
      <c r="I17" s="16">
        <f t="shared" ref="I17" si="20">SUM(D17:H17)</f>
        <v>-134592</v>
      </c>
      <c r="K17" s="23">
        <f>D17*-0.21</f>
        <v>28264.32</v>
      </c>
      <c r="L17" s="23">
        <f t="shared" si="5"/>
        <v>0</v>
      </c>
      <c r="M17" s="23">
        <f t="shared" si="6"/>
        <v>0</v>
      </c>
      <c r="N17" s="23">
        <f t="shared" si="7"/>
        <v>0</v>
      </c>
      <c r="O17" s="23">
        <f t="shared" si="8"/>
        <v>0</v>
      </c>
      <c r="P17" s="23">
        <f t="shared" ref="P17" si="21">SUM(K17:O17)</f>
        <v>28264.32</v>
      </c>
      <c r="Q17" s="30" t="s">
        <v>85</v>
      </c>
      <c r="R17" s="27">
        <v>87807.72</v>
      </c>
      <c r="S17" s="27"/>
      <c r="T17" s="27"/>
      <c r="U17" s="27"/>
      <c r="V17" s="27"/>
      <c r="W17" s="27">
        <f t="shared" si="10"/>
        <v>87807.72</v>
      </c>
      <c r="Y17" s="23">
        <f t="shared" si="14"/>
        <v>-59543.4</v>
      </c>
      <c r="Z17" t="s">
        <v>104</v>
      </c>
    </row>
    <row r="18" spans="1:26" x14ac:dyDescent="0.3">
      <c r="A18" s="41">
        <f>'Sch M Summary '!A39</f>
        <v>997027</v>
      </c>
      <c r="B18" s="41" t="str">
        <f>'Sch M Summary '!B39</f>
        <v>Uncollectibles</v>
      </c>
      <c r="C18" s="41" t="str">
        <f>'Sch M Summary '!C39</f>
        <v>Temp</v>
      </c>
      <c r="D18" s="16">
        <f>'Sch M Summary '!D39</f>
        <v>0</v>
      </c>
      <c r="E18" s="16">
        <f>'Sch M Summary '!E39</f>
        <v>0</v>
      </c>
      <c r="F18" s="16">
        <f>'Sch M Summary '!F39</f>
        <v>0</v>
      </c>
      <c r="G18" s="16">
        <f>'Sch M Summary '!G39</f>
        <v>0</v>
      </c>
      <c r="H18" s="16">
        <f>'Sch M Summary '!H39</f>
        <v>1683</v>
      </c>
      <c r="I18" s="16">
        <f t="shared" si="1"/>
        <v>1683</v>
      </c>
      <c r="K18" s="23">
        <f t="shared" si="4"/>
        <v>0</v>
      </c>
      <c r="L18" s="23">
        <f t="shared" si="5"/>
        <v>0</v>
      </c>
      <c r="M18" s="23">
        <f t="shared" si="6"/>
        <v>0</v>
      </c>
      <c r="N18" s="23">
        <f t="shared" si="7"/>
        <v>0</v>
      </c>
      <c r="O18" s="23">
        <f t="shared" si="8"/>
        <v>-353.43</v>
      </c>
      <c r="P18" s="23">
        <f t="shared" si="9"/>
        <v>-353.43</v>
      </c>
      <c r="Q18" s="30" t="s">
        <v>84</v>
      </c>
      <c r="R18" s="26"/>
      <c r="S18" s="26"/>
      <c r="T18" s="26"/>
      <c r="U18" s="26"/>
      <c r="V18" s="26">
        <f t="shared" si="18"/>
        <v>-353.39407560000001</v>
      </c>
      <c r="W18" s="26">
        <f t="shared" si="10"/>
        <v>-353.39407560000001</v>
      </c>
      <c r="X18" s="25">
        <v>-3793.41</v>
      </c>
      <c r="Y18" s="23">
        <f t="shared" si="14"/>
        <v>-3.5924399999998968E-2</v>
      </c>
    </row>
    <row r="19" spans="1:26" x14ac:dyDescent="0.3">
      <c r="A19" s="41">
        <f>'Sch M Summary '!A40</f>
        <v>997030</v>
      </c>
      <c r="B19" s="41" t="str">
        <f>'Sch M Summary '!B40</f>
        <v>Senate Bill 408</v>
      </c>
      <c r="C19" s="41" t="str">
        <f>'Sch M Summary '!C40</f>
        <v>Temp</v>
      </c>
      <c r="D19" s="16">
        <f>'Sch M Summary '!D40</f>
        <v>0</v>
      </c>
      <c r="E19" s="16">
        <f>'Sch M Summary '!E40</f>
        <v>0</v>
      </c>
      <c r="F19" s="16">
        <f>'Sch M Summary '!F40</f>
        <v>0</v>
      </c>
      <c r="G19" s="16">
        <f>'Sch M Summary '!G40</f>
        <v>0</v>
      </c>
      <c r="H19" s="16">
        <f>'Sch M Summary '!H40</f>
        <v>0</v>
      </c>
      <c r="I19" s="16">
        <f t="shared" ref="I19" si="22">SUM(D19:H19)</f>
        <v>0</v>
      </c>
      <c r="K19" s="23">
        <f t="shared" si="4"/>
        <v>0</v>
      </c>
      <c r="L19" s="23">
        <f t="shared" si="5"/>
        <v>0</v>
      </c>
      <c r="M19" s="23">
        <f t="shared" si="6"/>
        <v>0</v>
      </c>
      <c r="N19" s="23">
        <f t="shared" si="7"/>
        <v>0</v>
      </c>
      <c r="O19" s="23">
        <f t="shared" si="8"/>
        <v>0</v>
      </c>
      <c r="P19" s="23">
        <f t="shared" ref="P19" si="23">SUM(K19:O19)</f>
        <v>0</v>
      </c>
      <c r="Q19" s="30" t="s">
        <v>85</v>
      </c>
      <c r="R19" s="27"/>
      <c r="S19" s="27"/>
      <c r="T19" s="27"/>
      <c r="U19" s="27"/>
      <c r="V19" s="27">
        <v>0</v>
      </c>
      <c r="W19" s="27">
        <f t="shared" si="10"/>
        <v>0</v>
      </c>
      <c r="Y19" s="23">
        <f t="shared" si="14"/>
        <v>0</v>
      </c>
    </row>
    <row r="20" spans="1:26" x14ac:dyDescent="0.3">
      <c r="A20" s="41">
        <f>'Sch M Summary '!A41</f>
        <v>997031</v>
      </c>
      <c r="B20" s="41" t="str">
        <f>'Sch M Summary '!B41</f>
        <v>Decoupling Mechanism</v>
      </c>
      <c r="C20" s="41" t="str">
        <f>'Sch M Summary '!C41</f>
        <v>Temp</v>
      </c>
      <c r="D20" s="16">
        <f>'Sch M Summary '!D41</f>
        <v>-5493339</v>
      </c>
      <c r="E20" s="16">
        <f>'Sch M Summary '!E41</f>
        <v>626480</v>
      </c>
      <c r="F20" s="16">
        <f>'Sch M Summary '!F41</f>
        <v>3641692</v>
      </c>
      <c r="G20" s="16">
        <f>'Sch M Summary '!G41</f>
        <v>705843</v>
      </c>
      <c r="H20" s="16">
        <f>'Sch M Summary '!H41</f>
        <v>-378320</v>
      </c>
      <c r="I20" s="16">
        <f t="shared" si="1"/>
        <v>-897644</v>
      </c>
      <c r="K20" s="23">
        <f t="shared" si="4"/>
        <v>1153601.19</v>
      </c>
      <c r="L20" s="23">
        <f t="shared" si="5"/>
        <v>-131560.79999999999</v>
      </c>
      <c r="M20" s="23">
        <f t="shared" si="6"/>
        <v>-764755.32</v>
      </c>
      <c r="N20" s="23">
        <f t="shared" si="7"/>
        <v>-148227.03</v>
      </c>
      <c r="O20" s="23">
        <f t="shared" si="8"/>
        <v>79447.199999999997</v>
      </c>
      <c r="P20" s="23">
        <f t="shared" si="9"/>
        <v>188505.23999999993</v>
      </c>
      <c r="Q20" s="30" t="s">
        <v>85</v>
      </c>
      <c r="R20" s="27">
        <f>854297.7+299303.76</f>
        <v>1153601.46</v>
      </c>
      <c r="S20" s="27">
        <v>-131560.78</v>
      </c>
      <c r="T20" s="27">
        <f>-1122829.93-163147.77+521222.31</f>
        <v>-764755.3899999999</v>
      </c>
      <c r="U20" s="27">
        <f>-71089.01-77137.98</f>
        <v>-148226.99</v>
      </c>
      <c r="V20" s="27">
        <f>135435.23-55987.99</f>
        <v>79447.24000000002</v>
      </c>
      <c r="W20" s="27">
        <f t="shared" si="10"/>
        <v>188505.54000000007</v>
      </c>
      <c r="Y20" s="23">
        <f t="shared" si="14"/>
        <v>-0.30000000013387762</v>
      </c>
      <c r="Z20" t="s">
        <v>105</v>
      </c>
    </row>
    <row r="21" spans="1:26" x14ac:dyDescent="0.3">
      <c r="A21" s="41">
        <f>'Sch M Summary '!A42</f>
        <v>997032</v>
      </c>
      <c r="B21" s="41" t="str">
        <f>'Sch M Summary '!B42</f>
        <v>Interest Rate Swaps</v>
      </c>
      <c r="C21" s="41" t="str">
        <f>'Sch M Summary '!C42</f>
        <v>Temp</v>
      </c>
      <c r="D21" s="16">
        <f>'Sch M Summary '!D42</f>
        <v>-10955984</v>
      </c>
      <c r="E21" s="16">
        <f>'Sch M Summary '!E42</f>
        <v>-5511999</v>
      </c>
      <c r="F21" s="16">
        <f>'Sch M Summary '!F42</f>
        <v>-3336239</v>
      </c>
      <c r="G21" s="16">
        <f>'Sch M Summary '!G42</f>
        <v>-1488750</v>
      </c>
      <c r="H21" s="16">
        <f>'Sch M Summary '!H42</f>
        <v>-2187435</v>
      </c>
      <c r="I21" s="16">
        <f t="shared" si="1"/>
        <v>-23480407</v>
      </c>
      <c r="K21" s="23">
        <f t="shared" si="4"/>
        <v>2300756.64</v>
      </c>
      <c r="L21" s="23">
        <f t="shared" si="5"/>
        <v>1157519.79</v>
      </c>
      <c r="M21" s="23">
        <f t="shared" si="6"/>
        <v>700610.19</v>
      </c>
      <c r="N21" s="23">
        <f t="shared" si="7"/>
        <v>312637.5</v>
      </c>
      <c r="O21" s="23">
        <f t="shared" si="8"/>
        <v>459361.35</v>
      </c>
      <c r="P21" s="23">
        <f t="shared" si="9"/>
        <v>4930885.47</v>
      </c>
      <c r="Q21" s="30" t="s">
        <v>84</v>
      </c>
      <c r="R21" s="26">
        <f>$X21*R$4</f>
        <v>2300756.7329156268</v>
      </c>
      <c r="S21" s="26">
        <f t="shared" ref="S21:V21" si="24">$X21*S$4</f>
        <v>1157519.7073068731</v>
      </c>
      <c r="T21" s="26">
        <f t="shared" si="24"/>
        <v>700610.07415866363</v>
      </c>
      <c r="U21" s="26">
        <f t="shared" si="24"/>
        <v>312637.5564128363</v>
      </c>
      <c r="V21" s="26">
        <f t="shared" si="24"/>
        <v>459361.27920599998</v>
      </c>
      <c r="W21" s="26">
        <f t="shared" ref="W21" si="25">SUM(R21:V21)</f>
        <v>4930885.3500000006</v>
      </c>
      <c r="X21" s="25">
        <v>4930885.3499999996</v>
      </c>
      <c r="Y21" s="23">
        <f t="shared" si="14"/>
        <v>0.11999999918043613</v>
      </c>
    </row>
    <row r="22" spans="1:26" x14ac:dyDescent="0.3">
      <c r="A22" s="41">
        <f>'Sch M Summary '!A43</f>
        <v>997033</v>
      </c>
      <c r="B22" s="41" t="str">
        <f>'Sch M Summary '!B43</f>
        <v>BPA Residential Exchange</v>
      </c>
      <c r="C22" s="41" t="str">
        <f>'Sch M Summary '!C43</f>
        <v>Temp</v>
      </c>
      <c r="D22" s="16">
        <f>'Sch M Summary '!D43</f>
        <v>29916</v>
      </c>
      <c r="E22" s="16">
        <f>'Sch M Summary '!E43</f>
        <v>16794</v>
      </c>
      <c r="F22" s="16">
        <f>'Sch M Summary '!F43</f>
        <v>0</v>
      </c>
      <c r="G22" s="16">
        <f>'Sch M Summary '!G43</f>
        <v>0</v>
      </c>
      <c r="H22" s="16">
        <f>'Sch M Summary '!H43</f>
        <v>0</v>
      </c>
      <c r="I22" s="16">
        <f t="shared" si="1"/>
        <v>46710</v>
      </c>
      <c r="K22" s="23">
        <f t="shared" si="4"/>
        <v>-6282.36</v>
      </c>
      <c r="L22" s="23">
        <f t="shared" si="5"/>
        <v>-3526.74</v>
      </c>
      <c r="M22" s="23">
        <f t="shared" si="6"/>
        <v>0</v>
      </c>
      <c r="N22" s="23">
        <f t="shared" si="7"/>
        <v>0</v>
      </c>
      <c r="O22" s="23">
        <f t="shared" si="8"/>
        <v>0</v>
      </c>
      <c r="P22" s="23">
        <f t="shared" si="9"/>
        <v>-9809.0999999999985</v>
      </c>
      <c r="Q22" s="30" t="s">
        <v>85</v>
      </c>
      <c r="R22" s="37">
        <v>-6317.91</v>
      </c>
      <c r="S22" s="37">
        <v>-3678.16</v>
      </c>
      <c r="T22" s="27"/>
      <c r="U22" s="27"/>
      <c r="V22" s="27"/>
      <c r="W22" s="27">
        <f t="shared" si="10"/>
        <v>-9996.07</v>
      </c>
      <c r="Y22" s="23">
        <f t="shared" si="14"/>
        <v>186.97000000000116</v>
      </c>
      <c r="Z22" t="s">
        <v>108</v>
      </c>
    </row>
    <row r="23" spans="1:26" x14ac:dyDescent="0.3">
      <c r="A23" s="41">
        <f>'Sch M Summary '!A44</f>
        <v>997033</v>
      </c>
      <c r="B23" s="41" t="str">
        <f>'Sch M Summary '!B44</f>
        <v>DSM Tariff Rider - 99 (G)</v>
      </c>
      <c r="C23" s="41" t="str">
        <f>'Sch M Summary '!C44</f>
        <v>Temp</v>
      </c>
      <c r="D23" s="16">
        <f>'Sch M Summary '!D44</f>
        <v>0</v>
      </c>
      <c r="E23" s="16">
        <f>'Sch M Summary '!E44</f>
        <v>0</v>
      </c>
      <c r="F23" s="16">
        <f>'Sch M Summary '!F44</f>
        <v>-18349</v>
      </c>
      <c r="G23" s="16">
        <f>'Sch M Summary '!G44</f>
        <v>53298</v>
      </c>
      <c r="H23" s="16">
        <f>'Sch M Summary '!H44</f>
        <v>-249468</v>
      </c>
      <c r="I23" s="16">
        <f t="shared" ref="I23" si="26">SUM(D23:H23)</f>
        <v>-214519</v>
      </c>
      <c r="K23" s="23">
        <f t="shared" si="4"/>
        <v>0</v>
      </c>
      <c r="L23" s="23">
        <f t="shared" si="5"/>
        <v>0</v>
      </c>
      <c r="M23" s="23">
        <f t="shared" si="6"/>
        <v>3853.29</v>
      </c>
      <c r="N23" s="23">
        <f t="shared" si="7"/>
        <v>-11192.58</v>
      </c>
      <c r="O23" s="23">
        <f t="shared" si="8"/>
        <v>52388.28</v>
      </c>
      <c r="P23" s="23">
        <f t="shared" ref="P23" si="27">SUM(K23:O23)</f>
        <v>45048.99</v>
      </c>
      <c r="Q23" s="30" t="s">
        <v>85</v>
      </c>
      <c r="R23" s="27"/>
      <c r="S23" s="27"/>
      <c r="T23" s="27">
        <v>3853.25</v>
      </c>
      <c r="U23" s="27">
        <v>-11192.65</v>
      </c>
      <c r="V23" s="27">
        <v>52388.34</v>
      </c>
      <c r="W23" s="27">
        <f t="shared" ref="W23" si="28">SUM(R23:V23)</f>
        <v>45048.939999999995</v>
      </c>
      <c r="Y23" s="23">
        <f t="shared" ref="Y23" si="29">P23-W23</f>
        <v>5.0000000002910383E-2</v>
      </c>
    </row>
    <row r="24" spans="1:26" x14ac:dyDescent="0.3">
      <c r="A24" s="41">
        <f>'Sch M Summary '!A45</f>
        <v>997034</v>
      </c>
      <c r="B24" s="41" t="str">
        <f>'Sch M Summary '!B45</f>
        <v>Montana Hydro Settlement</v>
      </c>
      <c r="C24" s="41" t="str">
        <f>'Sch M Summary '!C45</f>
        <v>Temp</v>
      </c>
      <c r="D24" s="16">
        <f>'Sch M Summary '!D45</f>
        <v>3200843</v>
      </c>
      <c r="E24" s="16">
        <f>'Sch M Summary '!E45</f>
        <v>1697157</v>
      </c>
      <c r="F24" s="16">
        <f>'Sch M Summary '!F45</f>
        <v>0</v>
      </c>
      <c r="G24" s="16">
        <f>'Sch M Summary '!G45</f>
        <v>0</v>
      </c>
      <c r="H24" s="16">
        <f>'Sch M Summary '!H45</f>
        <v>0</v>
      </c>
      <c r="I24" s="16">
        <f t="shared" si="1"/>
        <v>4898000</v>
      </c>
      <c r="K24" s="23">
        <f>D24*-0.21-K25</f>
        <v>-672177.03</v>
      </c>
      <c r="L24" s="23">
        <f>E24*-0.21-L25</f>
        <v>-356402.97</v>
      </c>
      <c r="M24" s="23">
        <f>F24*-0.21</f>
        <v>0</v>
      </c>
      <c r="N24" s="23">
        <f t="shared" si="7"/>
        <v>0</v>
      </c>
      <c r="O24" s="23">
        <f t="shared" si="8"/>
        <v>0</v>
      </c>
      <c r="P24" s="23">
        <f t="shared" si="9"/>
        <v>-1028580</v>
      </c>
      <c r="Q24" s="30" t="s">
        <v>84</v>
      </c>
      <c r="R24" s="26">
        <f>X24*R2</f>
        <v>-684303.9815471</v>
      </c>
      <c r="S24" s="26">
        <f>X24*S2</f>
        <v>-344276.00845289999</v>
      </c>
      <c r="T24" s="26"/>
      <c r="U24" s="26"/>
      <c r="V24" s="26"/>
      <c r="W24" s="26">
        <f t="shared" si="10"/>
        <v>-1028579.99</v>
      </c>
      <c r="X24" s="25">
        <f>-356402.95-672177.04</f>
        <v>-1028579.99</v>
      </c>
      <c r="Y24" s="23">
        <f t="shared" si="14"/>
        <v>-1.0000000009313226E-2</v>
      </c>
    </row>
    <row r="25" spans="1:26" x14ac:dyDescent="0.3">
      <c r="A25" s="32"/>
      <c r="B25" s="33" t="s">
        <v>89</v>
      </c>
      <c r="C25" s="33"/>
      <c r="D25" s="34"/>
      <c r="E25" s="34"/>
      <c r="F25" s="34"/>
      <c r="G25" s="34"/>
      <c r="H25" s="34"/>
      <c r="I25" s="34"/>
      <c r="J25" s="35"/>
      <c r="K25" s="36">
        <f>R25</f>
        <v>0</v>
      </c>
      <c r="L25" s="36">
        <f>S25</f>
        <v>0</v>
      </c>
      <c r="M25" s="36"/>
      <c r="N25" s="36"/>
      <c r="O25" s="36"/>
      <c r="P25" s="36">
        <f t="shared" si="9"/>
        <v>0</v>
      </c>
      <c r="Q25" s="30" t="s">
        <v>85</v>
      </c>
      <c r="R25" s="27">
        <v>0</v>
      </c>
      <c r="S25" s="27">
        <v>0</v>
      </c>
      <c r="T25" s="27"/>
      <c r="U25" s="27"/>
      <c r="V25" s="27"/>
      <c r="W25" s="27">
        <f t="shared" si="10"/>
        <v>0</v>
      </c>
      <c r="X25" s="25"/>
      <c r="Y25" s="23">
        <f t="shared" si="14"/>
        <v>0</v>
      </c>
    </row>
    <row r="26" spans="1:26" x14ac:dyDescent="0.3">
      <c r="A26" s="41">
        <f>'Sch M Summary '!A46</f>
        <v>997043</v>
      </c>
      <c r="B26" s="41" t="str">
        <f>'Sch M Summary '!B46</f>
        <v>Washington Deferred Power Costs</v>
      </c>
      <c r="C26" s="41" t="str">
        <f>'Sch M Summary '!C46</f>
        <v>Temp</v>
      </c>
      <c r="D26" s="16">
        <f>'Sch M Summary '!D46</f>
        <v>9524258</v>
      </c>
      <c r="E26" s="16">
        <f>'Sch M Summary '!E46</f>
        <v>0</v>
      </c>
      <c r="F26" s="16">
        <f>'Sch M Summary '!F46</f>
        <v>0</v>
      </c>
      <c r="G26" s="16">
        <f>'Sch M Summary '!G46</f>
        <v>0</v>
      </c>
      <c r="H26" s="16">
        <f>'Sch M Summary '!H46</f>
        <v>0</v>
      </c>
      <c r="I26" s="16">
        <f t="shared" si="1"/>
        <v>9524258</v>
      </c>
      <c r="K26" s="23">
        <f t="shared" ref="K26" si="30">D26*-0.21</f>
        <v>-2000094.18</v>
      </c>
      <c r="L26" s="23">
        <f t="shared" ref="L26" si="31">E26*-0.21</f>
        <v>0</v>
      </c>
      <c r="M26" s="23">
        <f t="shared" ref="M26" si="32">F26*-0.21</f>
        <v>0</v>
      </c>
      <c r="N26" s="23">
        <f t="shared" ref="N26" si="33">G26*-0.21</f>
        <v>0</v>
      </c>
      <c r="O26" s="23">
        <f t="shared" ref="O26" si="34">H26*-0.21</f>
        <v>0</v>
      </c>
      <c r="P26" s="23">
        <f t="shared" si="9"/>
        <v>-2000094.18</v>
      </c>
      <c r="Q26" s="30" t="s">
        <v>85</v>
      </c>
      <c r="R26" s="27">
        <v>-2000094.07</v>
      </c>
      <c r="S26" s="27"/>
      <c r="T26" s="27"/>
      <c r="U26" s="27"/>
      <c r="V26" s="27"/>
      <c r="W26" s="27">
        <f t="shared" si="10"/>
        <v>-2000094.07</v>
      </c>
      <c r="Y26" s="23">
        <f t="shared" si="14"/>
        <v>-0.10999999986961484</v>
      </c>
    </row>
    <row r="27" spans="1:26" x14ac:dyDescent="0.3">
      <c r="A27" s="41">
        <f>'Sch M Summary '!A47</f>
        <v>997044</v>
      </c>
      <c r="B27" s="41" t="str">
        <f>'Sch M Summary '!B47</f>
        <v>Non-Monetary Power Costs</v>
      </c>
      <c r="C27" s="41" t="str">
        <f>'Sch M Summary '!C47</f>
        <v>Temp</v>
      </c>
      <c r="D27" s="16">
        <f>'Sch M Summary '!D47</f>
        <v>-170332</v>
      </c>
      <c r="E27" s="16">
        <f>'Sch M Summary '!E47</f>
        <v>-90155</v>
      </c>
      <c r="F27" s="16">
        <f>'Sch M Summary '!F47</f>
        <v>0</v>
      </c>
      <c r="G27" s="16">
        <f>'Sch M Summary '!G47</f>
        <v>0</v>
      </c>
      <c r="H27" s="16">
        <f>'Sch M Summary '!H47</f>
        <v>0</v>
      </c>
      <c r="I27" s="16">
        <f t="shared" si="1"/>
        <v>-260487</v>
      </c>
      <c r="K27" s="23">
        <f t="shared" ref="K27:K32" si="35">D27*-0.21</f>
        <v>35769.72</v>
      </c>
      <c r="L27" s="23">
        <f t="shared" ref="L27:L32" si="36">E27*-0.21</f>
        <v>18932.55</v>
      </c>
      <c r="M27" s="23">
        <f t="shared" ref="M27:M32" si="37">F27*-0.21</f>
        <v>0</v>
      </c>
      <c r="N27" s="23">
        <f t="shared" ref="N27:N32" si="38">G27*-0.21</f>
        <v>0</v>
      </c>
      <c r="O27" s="23">
        <f t="shared" ref="O27:O32" si="39">H27*-0.21</f>
        <v>0</v>
      </c>
      <c r="P27" s="23">
        <f t="shared" si="9"/>
        <v>54702.270000000004</v>
      </c>
      <c r="Q27" s="30" t="s">
        <v>84</v>
      </c>
      <c r="R27" s="26">
        <f>$X27*R$2</f>
        <v>36392.946390199999</v>
      </c>
      <c r="S27" s="26">
        <f>$X27*S$2</f>
        <v>18309.433609799999</v>
      </c>
      <c r="T27" s="26"/>
      <c r="U27" s="26"/>
      <c r="V27" s="26"/>
      <c r="W27" s="26">
        <f t="shared" si="10"/>
        <v>54702.38</v>
      </c>
      <c r="X27" s="25">
        <v>54702.38</v>
      </c>
      <c r="Y27" s="23">
        <f t="shared" si="14"/>
        <v>-0.10999999999330612</v>
      </c>
    </row>
    <row r="28" spans="1:26" x14ac:dyDescent="0.3">
      <c r="A28" s="41">
        <f>'Sch M Summary '!A48</f>
        <v>997046</v>
      </c>
      <c r="B28" s="41" t="str">
        <f>'Sch M Summary '!B48</f>
        <v>Nez Perce Settlement</v>
      </c>
      <c r="C28" s="41" t="str">
        <f>'Sch M Summary '!C48</f>
        <v>Temp</v>
      </c>
      <c r="D28" s="16">
        <f>'Sch M Summary '!D48</f>
        <v>-22008</v>
      </c>
      <c r="E28" s="16">
        <f>'Sch M Summary '!E48</f>
        <v>5188</v>
      </c>
      <c r="F28" s="16">
        <f>'Sch M Summary '!F48</f>
        <v>0</v>
      </c>
      <c r="G28" s="16">
        <f>'Sch M Summary '!G48</f>
        <v>0</v>
      </c>
      <c r="H28" s="16">
        <f>'Sch M Summary '!H48</f>
        <v>0</v>
      </c>
      <c r="I28" s="16">
        <f t="shared" si="1"/>
        <v>-16820</v>
      </c>
      <c r="K28" s="23">
        <f t="shared" si="35"/>
        <v>4621.6799999999994</v>
      </c>
      <c r="L28" s="23">
        <f t="shared" si="36"/>
        <v>-1089.48</v>
      </c>
      <c r="M28" s="23">
        <f t="shared" si="37"/>
        <v>0</v>
      </c>
      <c r="N28" s="23">
        <f t="shared" si="38"/>
        <v>0</v>
      </c>
      <c r="O28" s="23">
        <f t="shared" si="39"/>
        <v>0</v>
      </c>
      <c r="P28" s="23">
        <f t="shared" si="9"/>
        <v>3532.1999999999994</v>
      </c>
      <c r="Q28" s="30" t="s">
        <v>85</v>
      </c>
      <c r="R28" s="27">
        <v>4621.68</v>
      </c>
      <c r="S28" s="27">
        <v>-1089.48</v>
      </c>
      <c r="T28" s="27"/>
      <c r="U28" s="27"/>
      <c r="V28" s="27"/>
      <c r="W28" s="27">
        <f t="shared" si="10"/>
        <v>3532.2000000000003</v>
      </c>
      <c r="Y28" s="23">
        <f t="shared" si="14"/>
        <v>0</v>
      </c>
    </row>
    <row r="29" spans="1:26" x14ac:dyDescent="0.3">
      <c r="A29" s="41">
        <f>'Sch M Summary '!A49</f>
        <v>997053</v>
      </c>
      <c r="B29" s="41" t="str">
        <f>'Sch M Summary '!B49</f>
        <v>Renewable Energy Certificate Fees</v>
      </c>
      <c r="C29" s="41" t="str">
        <f>'Sch M Summary '!C49</f>
        <v>Temp</v>
      </c>
      <c r="D29" s="16">
        <f>'Sch M Summary '!D49</f>
        <v>0</v>
      </c>
      <c r="E29" s="16">
        <f>'Sch M Summary '!E49</f>
        <v>0</v>
      </c>
      <c r="F29" s="16">
        <f>'Sch M Summary '!F49</f>
        <v>0</v>
      </c>
      <c r="G29" s="16">
        <f>'Sch M Summary '!G49</f>
        <v>0</v>
      </c>
      <c r="H29" s="16">
        <f>'Sch M Summary '!H49</f>
        <v>0</v>
      </c>
      <c r="I29" s="16">
        <f t="shared" si="1"/>
        <v>0</v>
      </c>
      <c r="K29" s="23">
        <f t="shared" si="35"/>
        <v>0</v>
      </c>
      <c r="L29" s="23">
        <f t="shared" si="36"/>
        <v>0</v>
      </c>
      <c r="M29" s="23">
        <f t="shared" si="37"/>
        <v>0</v>
      </c>
      <c r="N29" s="23">
        <f t="shared" si="38"/>
        <v>0</v>
      </c>
      <c r="O29" s="23">
        <f t="shared" si="39"/>
        <v>0</v>
      </c>
      <c r="P29" s="23">
        <f t="shared" si="9"/>
        <v>0</v>
      </c>
      <c r="Q29" s="30" t="s">
        <v>84</v>
      </c>
      <c r="R29" s="26">
        <v>0</v>
      </c>
      <c r="S29" s="26">
        <v>0</v>
      </c>
      <c r="T29" s="26"/>
      <c r="U29" s="26"/>
      <c r="V29" s="26"/>
      <c r="W29" s="26">
        <f t="shared" si="10"/>
        <v>0</v>
      </c>
      <c r="Y29" s="23">
        <f t="shared" si="14"/>
        <v>0</v>
      </c>
    </row>
    <row r="30" spans="1:26" x14ac:dyDescent="0.3">
      <c r="A30" s="41">
        <f>'Sch M Summary '!A50</f>
        <v>997054</v>
      </c>
      <c r="B30" s="41" t="str">
        <f>'Sch M Summary '!B50</f>
        <v>Spokane River Relicensing</v>
      </c>
      <c r="C30" s="41" t="str">
        <f>'Sch M Summary '!C50</f>
        <v>Temp</v>
      </c>
      <c r="D30" s="16">
        <f>'Sch M Summary '!D50</f>
        <v>72939</v>
      </c>
      <c r="E30" s="16">
        <f>'Sch M Summary '!E50</f>
        <v>5797</v>
      </c>
      <c r="F30" s="16">
        <f>'Sch M Summary '!F50</f>
        <v>0</v>
      </c>
      <c r="G30" s="16">
        <f>'Sch M Summary '!G50</f>
        <v>0</v>
      </c>
      <c r="H30" s="16">
        <f>'Sch M Summary '!H50</f>
        <v>0</v>
      </c>
      <c r="I30" s="16">
        <f t="shared" si="1"/>
        <v>78736</v>
      </c>
      <c r="K30" s="23">
        <f t="shared" si="35"/>
        <v>-15317.189999999999</v>
      </c>
      <c r="L30" s="23">
        <f t="shared" si="36"/>
        <v>-1217.3699999999999</v>
      </c>
      <c r="M30" s="23">
        <f t="shared" si="37"/>
        <v>0</v>
      </c>
      <c r="N30" s="23">
        <f t="shared" si="38"/>
        <v>0</v>
      </c>
      <c r="O30" s="23">
        <f t="shared" si="39"/>
        <v>0</v>
      </c>
      <c r="P30" s="23">
        <f t="shared" si="9"/>
        <v>-16534.559999999998</v>
      </c>
      <c r="Q30" s="30" t="s">
        <v>85</v>
      </c>
      <c r="R30" s="27">
        <v>-15317.28</v>
      </c>
      <c r="S30" s="27">
        <v>-1217.28</v>
      </c>
      <c r="T30" s="27"/>
      <c r="U30" s="27"/>
      <c r="V30" s="27"/>
      <c r="W30" s="27">
        <f t="shared" si="10"/>
        <v>-16534.560000000001</v>
      </c>
      <c r="Y30" s="23">
        <f t="shared" si="14"/>
        <v>0</v>
      </c>
    </row>
    <row r="31" spans="1:26" x14ac:dyDescent="0.3">
      <c r="A31" s="41">
        <f>'Sch M Summary '!A51</f>
        <v>997058</v>
      </c>
      <c r="B31" s="41" t="str">
        <f>'Sch M Summary '!B51</f>
        <v>Colstrip Settlement</v>
      </c>
      <c r="C31" s="41" t="str">
        <f>'Sch M Summary '!C51</f>
        <v>Temp</v>
      </c>
      <c r="D31" s="16">
        <f>'Sch M Summary '!D51</f>
        <v>0</v>
      </c>
      <c r="E31" s="16">
        <f>'Sch M Summary '!E51</f>
        <v>0</v>
      </c>
      <c r="F31" s="16">
        <f>'Sch M Summary '!F51</f>
        <v>0</v>
      </c>
      <c r="G31" s="16">
        <f>'Sch M Summary '!G51</f>
        <v>0</v>
      </c>
      <c r="H31" s="16">
        <f>'Sch M Summary '!H51</f>
        <v>0</v>
      </c>
      <c r="I31" s="16">
        <f t="shared" si="1"/>
        <v>0</v>
      </c>
      <c r="K31" s="23">
        <f t="shared" si="35"/>
        <v>0</v>
      </c>
      <c r="L31" s="23">
        <f t="shared" si="36"/>
        <v>0</v>
      </c>
      <c r="M31" s="23">
        <f t="shared" si="37"/>
        <v>0</v>
      </c>
      <c r="N31" s="23">
        <f t="shared" si="38"/>
        <v>0</v>
      </c>
      <c r="O31" s="23">
        <f t="shared" si="39"/>
        <v>0</v>
      </c>
      <c r="P31" s="23">
        <f t="shared" si="9"/>
        <v>0</v>
      </c>
      <c r="Q31" s="30" t="s">
        <v>85</v>
      </c>
      <c r="R31" s="27"/>
      <c r="S31" s="27">
        <v>0</v>
      </c>
      <c r="T31" s="27"/>
      <c r="U31" s="27"/>
      <c r="V31" s="27"/>
      <c r="W31" s="27">
        <f t="shared" si="10"/>
        <v>0</v>
      </c>
      <c r="Y31" s="23">
        <f t="shared" si="14"/>
        <v>0</v>
      </c>
    </row>
    <row r="32" spans="1:26" x14ac:dyDescent="0.3">
      <c r="A32" s="41">
        <f>'Sch M Summary '!A52</f>
        <v>997059</v>
      </c>
      <c r="B32" s="41" t="str">
        <f>'Sch M Summary '!B52</f>
        <v>Spokane River Relicensing PME</v>
      </c>
      <c r="C32" s="41" t="str">
        <f>'Sch M Summary '!C52</f>
        <v>Temp</v>
      </c>
      <c r="D32" s="16">
        <f>'Sch M Summary '!D52</f>
        <v>46316</v>
      </c>
      <c r="E32" s="16">
        <f>'Sch M Summary '!E52</f>
        <v>26996</v>
      </c>
      <c r="F32" s="16">
        <f>'Sch M Summary '!F52</f>
        <v>0</v>
      </c>
      <c r="G32" s="16">
        <f>'Sch M Summary '!G52</f>
        <v>0</v>
      </c>
      <c r="H32" s="16">
        <f>'Sch M Summary '!H52</f>
        <v>0</v>
      </c>
      <c r="I32" s="16">
        <f t="shared" si="1"/>
        <v>73312</v>
      </c>
      <c r="K32" s="23">
        <f t="shared" si="35"/>
        <v>-9726.3599999999988</v>
      </c>
      <c r="L32" s="23">
        <f t="shared" si="36"/>
        <v>-5669.16</v>
      </c>
      <c r="M32" s="23">
        <f t="shared" si="37"/>
        <v>0</v>
      </c>
      <c r="N32" s="23">
        <f t="shared" si="38"/>
        <v>0</v>
      </c>
      <c r="O32" s="23">
        <f t="shared" si="39"/>
        <v>0</v>
      </c>
      <c r="P32" s="23">
        <f t="shared" si="9"/>
        <v>-15395.519999999999</v>
      </c>
      <c r="Q32" s="30" t="s">
        <v>85</v>
      </c>
      <c r="R32" s="27">
        <v>-9726.36</v>
      </c>
      <c r="S32" s="27">
        <v>-5669.16</v>
      </c>
      <c r="T32" s="27"/>
      <c r="U32" s="27"/>
      <c r="V32" s="27"/>
      <c r="W32" s="27">
        <f t="shared" si="10"/>
        <v>-15395.52</v>
      </c>
      <c r="Y32" s="23">
        <f t="shared" si="14"/>
        <v>0</v>
      </c>
    </row>
    <row r="33" spans="1:25" x14ac:dyDescent="0.3">
      <c r="A33" s="41">
        <f>'Sch M Summary '!A53</f>
        <v>997063</v>
      </c>
      <c r="B33" s="41" t="str">
        <f>'Sch M Summary '!B53</f>
        <v>CDA Lake Settlement</v>
      </c>
      <c r="C33" s="41" t="str">
        <f>'Sch M Summary '!C53</f>
        <v>Temp</v>
      </c>
      <c r="D33" s="16">
        <f>'Sch M Summary '!D53</f>
        <v>730222</v>
      </c>
      <c r="E33" s="16">
        <f>'Sch M Summary '!E53</f>
        <v>336957</v>
      </c>
      <c r="F33" s="16">
        <f>'Sch M Summary '!F53</f>
        <v>0</v>
      </c>
      <c r="G33" s="16">
        <f>'Sch M Summary '!G53</f>
        <v>0</v>
      </c>
      <c r="H33" s="16">
        <f>'Sch M Summary '!H53</f>
        <v>0</v>
      </c>
      <c r="I33" s="16">
        <f t="shared" si="1"/>
        <v>1067179</v>
      </c>
      <c r="K33" s="23">
        <f>D33*-0.21-K34</f>
        <v>-121401.78</v>
      </c>
      <c r="L33" s="23">
        <f>E33*-0.21-L34</f>
        <v>-64256.25</v>
      </c>
      <c r="M33" s="23">
        <f t="shared" ref="M33" si="40">F33*-0.35</f>
        <v>0</v>
      </c>
      <c r="N33" s="23">
        <f t="shared" ref="N33" si="41">G33*-0.35</f>
        <v>0</v>
      </c>
      <c r="O33" s="23">
        <f t="shared" ref="O33" si="42">H33*-0.35</f>
        <v>0</v>
      </c>
      <c r="P33" s="23">
        <f t="shared" si="9"/>
        <v>-185658.03</v>
      </c>
      <c r="Q33" s="30" t="s">
        <v>84</v>
      </c>
      <c r="R33" s="26">
        <f>X33*R2</f>
        <v>-123516.41082</v>
      </c>
      <c r="S33" s="26">
        <f>X33*S2</f>
        <v>-62141.589180000003</v>
      </c>
      <c r="T33" s="26"/>
      <c r="U33" s="26"/>
      <c r="V33" s="26"/>
      <c r="W33" s="26">
        <f t="shared" si="10"/>
        <v>-185658</v>
      </c>
      <c r="X33" s="25">
        <v>-185658</v>
      </c>
      <c r="Y33" s="23">
        <f t="shared" si="14"/>
        <v>-2.9999999998835847E-2</v>
      </c>
    </row>
    <row r="34" spans="1:25" x14ac:dyDescent="0.3">
      <c r="A34" s="32"/>
      <c r="B34" s="33" t="s">
        <v>89</v>
      </c>
      <c r="C34" s="33"/>
      <c r="D34" s="34"/>
      <c r="E34" s="34"/>
      <c r="F34" s="34"/>
      <c r="G34" s="34"/>
      <c r="H34" s="34"/>
      <c r="I34" s="34"/>
      <c r="J34" s="35"/>
      <c r="K34" s="36">
        <f>R34</f>
        <v>-31944.84</v>
      </c>
      <c r="L34" s="36">
        <f>S34</f>
        <v>-6504.72</v>
      </c>
      <c r="M34" s="36"/>
      <c r="N34" s="36"/>
      <c r="O34" s="36"/>
      <c r="P34" s="36">
        <f t="shared" ref="P34" si="43">SUM(K34:O34)</f>
        <v>-38449.56</v>
      </c>
      <c r="Q34" s="30" t="s">
        <v>85</v>
      </c>
      <c r="R34" s="27">
        <v>-31944.84</v>
      </c>
      <c r="S34" s="27">
        <v>-6504.72</v>
      </c>
      <c r="T34" s="27"/>
      <c r="U34" s="27"/>
      <c r="V34" s="27"/>
      <c r="W34" s="27">
        <f t="shared" si="10"/>
        <v>-38449.56</v>
      </c>
      <c r="X34" s="25"/>
      <c r="Y34" s="23">
        <f t="shared" si="14"/>
        <v>0</v>
      </c>
    </row>
    <row r="35" spans="1:25" x14ac:dyDescent="0.3">
      <c r="A35" s="41">
        <f>'Sch M Summary '!A54</f>
        <v>997065</v>
      </c>
      <c r="B35" s="41" t="str">
        <f>'Sch M Summary '!B54</f>
        <v>Amortization - Unbilled Revenue Add-Ins</v>
      </c>
      <c r="C35" s="41" t="str">
        <f>'Sch M Summary '!C54</f>
        <v>Temp</v>
      </c>
      <c r="D35" s="16">
        <f>'Sch M Summary '!D54</f>
        <v>35974</v>
      </c>
      <c r="E35" s="16">
        <f>'Sch M Summary '!E54</f>
        <v>-141743</v>
      </c>
      <c r="F35" s="16">
        <f>'Sch M Summary '!F54</f>
        <v>-278721</v>
      </c>
      <c r="G35" s="16">
        <f>'Sch M Summary '!G54</f>
        <v>-16851</v>
      </c>
      <c r="H35" s="16">
        <f>'Sch M Summary '!H54</f>
        <v>-32599</v>
      </c>
      <c r="I35" s="16">
        <f t="shared" si="1"/>
        <v>-433940</v>
      </c>
      <c r="K35" s="23">
        <f>D35*-0.21</f>
        <v>-7554.54</v>
      </c>
      <c r="L35" s="23">
        <f t="shared" ref="L35:O50" si="44">E35*-0.21</f>
        <v>29766.03</v>
      </c>
      <c r="M35" s="23">
        <f t="shared" si="44"/>
        <v>58531.409999999996</v>
      </c>
      <c r="N35" s="23">
        <f t="shared" si="44"/>
        <v>3538.71</v>
      </c>
      <c r="O35" s="23">
        <f t="shared" si="44"/>
        <v>6845.79</v>
      </c>
      <c r="P35" s="23">
        <f t="shared" si="9"/>
        <v>91127.4</v>
      </c>
      <c r="Q35" s="30" t="s">
        <v>85</v>
      </c>
      <c r="R35" s="27">
        <v>-7554.54</v>
      </c>
      <c r="S35" s="27">
        <v>29766.03</v>
      </c>
      <c r="T35" s="27">
        <v>58531.41</v>
      </c>
      <c r="U35" s="27">
        <v>3538.71</v>
      </c>
      <c r="V35" s="27">
        <v>6845.79</v>
      </c>
      <c r="W35" s="27">
        <f t="shared" si="10"/>
        <v>91127.4</v>
      </c>
      <c r="Y35" s="23">
        <f t="shared" si="14"/>
        <v>0</v>
      </c>
    </row>
    <row r="36" spans="1:25" x14ac:dyDescent="0.3">
      <c r="A36" s="41">
        <f>'Sch M Summary '!A55</f>
        <v>997071</v>
      </c>
      <c r="B36" s="41" t="str">
        <f>'Sch M Summary '!B55</f>
        <v>OR Regulatory Fee</v>
      </c>
      <c r="C36" s="41" t="str">
        <f>'Sch M Summary '!C55</f>
        <v>Temp</v>
      </c>
      <c r="D36" s="16">
        <f>'Sch M Summary '!D55</f>
        <v>0</v>
      </c>
      <c r="E36" s="16">
        <f>'Sch M Summary '!E55</f>
        <v>0</v>
      </c>
      <c r="F36" s="16">
        <f>'Sch M Summary '!F55</f>
        <v>0</v>
      </c>
      <c r="G36" s="16">
        <f>'Sch M Summary '!G55</f>
        <v>0</v>
      </c>
      <c r="H36" s="16">
        <f>'Sch M Summary '!H55</f>
        <v>0</v>
      </c>
      <c r="I36" s="16">
        <f t="shared" si="1"/>
        <v>0</v>
      </c>
      <c r="K36" s="23">
        <f t="shared" ref="K36:K52" si="45">D36*-0.21</f>
        <v>0</v>
      </c>
      <c r="L36" s="23">
        <f t="shared" si="44"/>
        <v>0</v>
      </c>
      <c r="M36" s="23">
        <f t="shared" si="44"/>
        <v>0</v>
      </c>
      <c r="N36" s="23">
        <f t="shared" si="44"/>
        <v>0</v>
      </c>
      <c r="O36" s="23">
        <f t="shared" si="44"/>
        <v>0</v>
      </c>
      <c r="P36" s="23">
        <f t="shared" si="9"/>
        <v>0</v>
      </c>
      <c r="Q36" s="30" t="s">
        <v>85</v>
      </c>
      <c r="R36" s="27"/>
      <c r="S36" s="27">
        <v>0</v>
      </c>
      <c r="T36" s="27"/>
      <c r="U36" s="27"/>
      <c r="V36" s="27"/>
      <c r="W36" s="27">
        <f t="shared" si="10"/>
        <v>0</v>
      </c>
      <c r="Y36" s="23">
        <f t="shared" si="14"/>
        <v>0</v>
      </c>
    </row>
    <row r="37" spans="1:25" x14ac:dyDescent="0.3">
      <c r="A37" s="41">
        <f>'Sch M Summary '!A56</f>
        <v>997081</v>
      </c>
      <c r="B37" s="41" t="str">
        <f>'Sch M Summary '!B56</f>
        <v>Deferred Compensation</v>
      </c>
      <c r="C37" s="41" t="str">
        <f>'Sch M Summary '!C56</f>
        <v>Temp</v>
      </c>
      <c r="D37" s="16">
        <f>'Sch M Summary '!D56</f>
        <v>-528726</v>
      </c>
      <c r="E37" s="16">
        <f>'Sch M Summary '!E56</f>
        <v>-242068</v>
      </c>
      <c r="F37" s="16">
        <f>'Sch M Summary '!F56</f>
        <v>-163216</v>
      </c>
      <c r="G37" s="16">
        <f>'Sch M Summary '!G56</f>
        <v>-62620</v>
      </c>
      <c r="H37" s="16">
        <f>'Sch M Summary '!H56</f>
        <v>-102384</v>
      </c>
      <c r="I37" s="16">
        <f t="shared" ref="I37" si="46">SUM(D37:H37)</f>
        <v>-1099014</v>
      </c>
      <c r="K37" s="23">
        <f t="shared" si="45"/>
        <v>111032.45999999999</v>
      </c>
      <c r="L37" s="23">
        <f t="shared" si="44"/>
        <v>50834.28</v>
      </c>
      <c r="M37" s="23">
        <f t="shared" si="44"/>
        <v>34275.360000000001</v>
      </c>
      <c r="N37" s="23">
        <f t="shared" si="44"/>
        <v>13150.199999999999</v>
      </c>
      <c r="O37" s="23">
        <f t="shared" si="44"/>
        <v>21500.639999999999</v>
      </c>
      <c r="P37" s="23">
        <f t="shared" ref="P37" si="47">SUM(K37:O37)</f>
        <v>230792.94</v>
      </c>
      <c r="Q37" s="30" t="s">
        <v>84</v>
      </c>
      <c r="R37" s="26">
        <f t="shared" ref="R37:V38" si="48">$X37*R$4</f>
        <v>107688.27258419809</v>
      </c>
      <c r="S37" s="26">
        <f t="shared" si="48"/>
        <v>54178.390952301917</v>
      </c>
      <c r="T37" s="26">
        <f t="shared" si="48"/>
        <v>32792.466740115895</v>
      </c>
      <c r="U37" s="26">
        <f t="shared" si="48"/>
        <v>14633.184774984105</v>
      </c>
      <c r="V37" s="26">
        <f t="shared" si="48"/>
        <v>21500.674948399999</v>
      </c>
      <c r="W37" s="26">
        <f t="shared" si="10"/>
        <v>230792.99000000002</v>
      </c>
      <c r="X37" s="25">
        <v>230792.99</v>
      </c>
      <c r="Y37" s="23">
        <f t="shared" si="14"/>
        <v>-5.0000000017462298E-2</v>
      </c>
    </row>
    <row r="38" spans="1:25" x14ac:dyDescent="0.3">
      <c r="A38" s="41">
        <f>'Sch M Summary '!A57</f>
        <v>997083</v>
      </c>
      <c r="B38" s="41" t="str">
        <f>'Sch M Summary '!B57</f>
        <v>Paid Time Off</v>
      </c>
      <c r="C38" s="41" t="str">
        <f>'Sch M Summary '!C57</f>
        <v>Temp</v>
      </c>
      <c r="D38" s="16">
        <f>'Sch M Summary '!D57</f>
        <v>157003</v>
      </c>
      <c r="E38" s="16">
        <f>'Sch M Summary '!E57</f>
        <v>71881</v>
      </c>
      <c r="F38" s="16">
        <f>'Sch M Summary '!F57</f>
        <v>48466</v>
      </c>
      <c r="G38" s="16">
        <f>'Sch M Summary '!G57</f>
        <v>18595</v>
      </c>
      <c r="H38" s="16">
        <f>'Sch M Summary '!H57</f>
        <v>30403</v>
      </c>
      <c r="I38" s="16">
        <f t="shared" si="1"/>
        <v>326348</v>
      </c>
      <c r="K38" s="23">
        <f t="shared" si="45"/>
        <v>-32970.629999999997</v>
      </c>
      <c r="L38" s="23">
        <f t="shared" si="44"/>
        <v>-15095.01</v>
      </c>
      <c r="M38" s="23">
        <f t="shared" si="44"/>
        <v>-10177.859999999999</v>
      </c>
      <c r="N38" s="23">
        <f t="shared" si="44"/>
        <v>-3904.95</v>
      </c>
      <c r="O38" s="23">
        <f t="shared" si="44"/>
        <v>-6384.63</v>
      </c>
      <c r="P38" s="23">
        <f t="shared" si="9"/>
        <v>-68533.08</v>
      </c>
      <c r="Q38" s="30" t="s">
        <v>84</v>
      </c>
      <c r="R38" s="26">
        <f t="shared" si="48"/>
        <v>-31977.608692499405</v>
      </c>
      <c r="S38" s="26">
        <f t="shared" si="48"/>
        <v>-16088.059952000594</v>
      </c>
      <c r="T38" s="26">
        <f t="shared" si="48"/>
        <v>-9737.5939302707338</v>
      </c>
      <c r="U38" s="26">
        <f t="shared" si="48"/>
        <v>-4345.2666240292647</v>
      </c>
      <c r="V38" s="26">
        <f t="shared" si="48"/>
        <v>-6384.5408011999998</v>
      </c>
      <c r="W38" s="26">
        <f t="shared" si="10"/>
        <v>-68533.070000000007</v>
      </c>
      <c r="X38" s="25">
        <f>-167245.37+98712.3</f>
        <v>-68533.069999999992</v>
      </c>
      <c r="Y38" s="23">
        <f t="shared" si="14"/>
        <v>-9.9999999947613105E-3</v>
      </c>
    </row>
    <row r="39" spans="1:25" x14ac:dyDescent="0.3">
      <c r="A39" s="41">
        <f>'Sch M Summary '!A58</f>
        <v>997084</v>
      </c>
      <c r="B39" s="41" t="str">
        <f>'Sch M Summary '!B58</f>
        <v>Customer Uncollectibles</v>
      </c>
      <c r="C39" s="41" t="str">
        <f>'Sch M Summary '!C58</f>
        <v>Temp</v>
      </c>
      <c r="D39" s="16">
        <f>'Sch M Summary '!D58</f>
        <v>8316</v>
      </c>
      <c r="E39" s="16">
        <f>'Sch M Summary '!E58</f>
        <v>4353</v>
      </c>
      <c r="F39" s="16">
        <f>'Sch M Summary '!F58</f>
        <v>2461</v>
      </c>
      <c r="G39" s="16">
        <f>'Sch M Summary '!G58</f>
        <v>1251</v>
      </c>
      <c r="H39" s="16">
        <f>'Sch M Summary '!H58</f>
        <v>0</v>
      </c>
      <c r="I39" s="19">
        <f t="shared" si="1"/>
        <v>16381</v>
      </c>
      <c r="K39" s="23">
        <f t="shared" si="45"/>
        <v>-1746.36</v>
      </c>
      <c r="L39" s="23">
        <f t="shared" si="44"/>
        <v>-914.13</v>
      </c>
      <c r="M39" s="23">
        <f t="shared" si="44"/>
        <v>-516.80999999999995</v>
      </c>
      <c r="N39" s="23">
        <f t="shared" si="44"/>
        <v>-262.70999999999998</v>
      </c>
      <c r="O39" s="23">
        <f t="shared" si="44"/>
        <v>0</v>
      </c>
      <c r="P39" s="23">
        <f t="shared" si="9"/>
        <v>-3440.0099999999998</v>
      </c>
      <c r="Q39" s="30" t="s">
        <v>84</v>
      </c>
      <c r="R39" s="26">
        <f>$X39*R$4</f>
        <v>-1770.009436177515</v>
      </c>
      <c r="S39" s="26">
        <f t="shared" ref="S39:U39" si="49">$X39*S$4</f>
        <v>-890.49866732248506</v>
      </c>
      <c r="T39" s="26">
        <f t="shared" si="49"/>
        <v>-538.99068276130492</v>
      </c>
      <c r="U39" s="26">
        <f t="shared" si="49"/>
        <v>-240.517138138695</v>
      </c>
      <c r="V39" s="26"/>
      <c r="W39" s="26">
        <f t="shared" ref="W39" si="50">SUM(R39:V39)</f>
        <v>-3440.0159244000001</v>
      </c>
      <c r="X39" s="25">
        <f>X18</f>
        <v>-3793.41</v>
      </c>
      <c r="Y39" s="23">
        <f t="shared" si="14"/>
        <v>5.9244000003673136E-3</v>
      </c>
    </row>
    <row r="40" spans="1:25" x14ac:dyDescent="0.3">
      <c r="A40" s="41">
        <f>'Sch M Summary '!A59</f>
        <v>997085</v>
      </c>
      <c r="B40" s="41" t="str">
        <f>'Sch M Summary '!B59</f>
        <v>FAS106 Post Retirement - OR</v>
      </c>
      <c r="C40" s="41" t="str">
        <f>'Sch M Summary '!C59</f>
        <v>Temp</v>
      </c>
      <c r="D40" s="16">
        <f>'Sch M Summary '!D59</f>
        <v>0</v>
      </c>
      <c r="E40" s="16">
        <f>'Sch M Summary '!E59</f>
        <v>0</v>
      </c>
      <c r="F40" s="16">
        <f>'Sch M Summary '!F59</f>
        <v>0</v>
      </c>
      <c r="G40" s="16">
        <f>'Sch M Summary '!G59</f>
        <v>0</v>
      </c>
      <c r="H40" s="16">
        <f>'Sch M Summary '!H59</f>
        <v>167049</v>
      </c>
      <c r="I40" s="16">
        <f t="shared" si="1"/>
        <v>167049</v>
      </c>
      <c r="K40" s="23">
        <f t="shared" si="45"/>
        <v>0</v>
      </c>
      <c r="L40" s="23">
        <f t="shared" si="44"/>
        <v>0</v>
      </c>
      <c r="M40" s="23">
        <f t="shared" si="44"/>
        <v>0</v>
      </c>
      <c r="N40" s="23">
        <f t="shared" si="44"/>
        <v>0</v>
      </c>
      <c r="O40" s="23">
        <f t="shared" si="44"/>
        <v>-35080.29</v>
      </c>
      <c r="P40" s="23">
        <f t="shared" si="9"/>
        <v>-35080.29</v>
      </c>
      <c r="Q40" s="30" t="s">
        <v>84</v>
      </c>
      <c r="R40" s="26"/>
      <c r="S40" s="26"/>
      <c r="T40" s="26"/>
      <c r="U40" s="26"/>
      <c r="V40" s="26">
        <f t="shared" ref="V40:V42" si="51">$X40*V$4</f>
        <v>-35080.368727200002</v>
      </c>
      <c r="W40" s="26">
        <f t="shared" si="10"/>
        <v>-35080.368727200002</v>
      </c>
      <c r="X40" s="25">
        <f>X9</f>
        <v>-376560.42</v>
      </c>
      <c r="Y40" s="23">
        <f t="shared" si="14"/>
        <v>7.8727200001594611E-2</v>
      </c>
    </row>
    <row r="41" spans="1:25" x14ac:dyDescent="0.3">
      <c r="A41" s="41">
        <f>'Sch M Summary '!A60</f>
        <v>997086</v>
      </c>
      <c r="B41" s="41" t="str">
        <f>'Sch M Summary '!B60</f>
        <v>FAS87 Pension Benefits - OR</v>
      </c>
      <c r="C41" s="41" t="str">
        <f>'Sch M Summary '!C60</f>
        <v>Temp</v>
      </c>
      <c r="D41" s="16">
        <f>'Sch M Summary '!D60</f>
        <v>0</v>
      </c>
      <c r="E41" s="16">
        <f>'Sch M Summary '!E60</f>
        <v>0</v>
      </c>
      <c r="F41" s="16">
        <f>'Sch M Summary '!F60</f>
        <v>0</v>
      </c>
      <c r="G41" s="16">
        <f>'Sch M Summary '!G60</f>
        <v>0</v>
      </c>
      <c r="H41" s="16">
        <f>'Sch M Summary '!H60</f>
        <v>-90023</v>
      </c>
      <c r="I41" s="16">
        <f t="shared" si="1"/>
        <v>-90023</v>
      </c>
      <c r="K41" s="23">
        <f t="shared" si="45"/>
        <v>0</v>
      </c>
      <c r="L41" s="23">
        <f t="shared" si="44"/>
        <v>0</v>
      </c>
      <c r="M41" s="23">
        <f t="shared" si="44"/>
        <v>0</v>
      </c>
      <c r="N41" s="23">
        <f t="shared" si="44"/>
        <v>0</v>
      </c>
      <c r="O41" s="23">
        <f t="shared" si="44"/>
        <v>18904.829999999998</v>
      </c>
      <c r="P41" s="23">
        <f t="shared" si="9"/>
        <v>18904.829999999998</v>
      </c>
      <c r="Q41" s="30" t="s">
        <v>84</v>
      </c>
      <c r="R41" s="26"/>
      <c r="S41" s="26"/>
      <c r="T41" s="26"/>
      <c r="U41" s="26"/>
      <c r="V41" s="26">
        <f t="shared" si="51"/>
        <v>18904.834897200002</v>
      </c>
      <c r="W41" s="26">
        <f t="shared" si="10"/>
        <v>18904.834897200002</v>
      </c>
      <c r="X41" s="25">
        <f>X16</f>
        <v>202928.67</v>
      </c>
      <c r="Y41" s="23">
        <f t="shared" si="14"/>
        <v>-4.897200004052138E-3</v>
      </c>
    </row>
    <row r="42" spans="1:25" x14ac:dyDescent="0.3">
      <c r="A42" s="41">
        <f>'Sch M Summary '!A61</f>
        <v>997087</v>
      </c>
      <c r="B42" s="41" t="str">
        <f>'Sch M Summary '!B61</f>
        <v>Redemption Expense Amortization - OR</v>
      </c>
      <c r="C42" s="41" t="str">
        <f>'Sch M Summary '!C61</f>
        <v>Temp</v>
      </c>
      <c r="D42" s="16">
        <f>'Sch M Summary '!D61</f>
        <v>0</v>
      </c>
      <c r="E42" s="16">
        <f>'Sch M Summary '!E61</f>
        <v>0</v>
      </c>
      <c r="F42" s="16">
        <f>'Sch M Summary '!F61</f>
        <v>0</v>
      </c>
      <c r="G42" s="16">
        <f>'Sch M Summary '!G61</f>
        <v>0</v>
      </c>
      <c r="H42" s="16">
        <f>'Sch M Summary '!H61</f>
        <v>117063</v>
      </c>
      <c r="I42" s="16">
        <f t="shared" si="1"/>
        <v>117063</v>
      </c>
      <c r="K42" s="23">
        <f t="shared" si="45"/>
        <v>0</v>
      </c>
      <c r="L42" s="23">
        <f t="shared" si="44"/>
        <v>0</v>
      </c>
      <c r="M42" s="23">
        <f t="shared" si="44"/>
        <v>0</v>
      </c>
      <c r="N42" s="23">
        <f t="shared" si="44"/>
        <v>0</v>
      </c>
      <c r="O42" s="23">
        <f t="shared" si="44"/>
        <v>-24583.23</v>
      </c>
      <c r="P42" s="23">
        <f t="shared" si="9"/>
        <v>-24583.23</v>
      </c>
      <c r="Q42" s="30" t="s">
        <v>84</v>
      </c>
      <c r="R42" s="26"/>
      <c r="S42" s="26"/>
      <c r="T42" s="26"/>
      <c r="U42" s="26"/>
      <c r="V42" s="26">
        <f t="shared" si="51"/>
        <v>-24583.270410000001</v>
      </c>
      <c r="W42" s="26">
        <f t="shared" si="10"/>
        <v>-24583.270410000001</v>
      </c>
      <c r="X42" s="25">
        <f>X13</f>
        <v>-263882.25</v>
      </c>
      <c r="Y42" s="23">
        <f t="shared" si="14"/>
        <v>4.041000000142958E-2</v>
      </c>
    </row>
    <row r="43" spans="1:25" x14ac:dyDescent="0.3">
      <c r="A43" s="41">
        <f>'Sch M Summary '!A62</f>
        <v>997088</v>
      </c>
      <c r="B43" s="41" t="str">
        <f>'Sch M Summary '!B62</f>
        <v>Deferred O&amp;M Colstrip &amp; CS2</v>
      </c>
      <c r="C43" s="41" t="str">
        <f>'Sch M Summary '!C62</f>
        <v>Temp</v>
      </c>
      <c r="D43" s="16">
        <f>'Sch M Summary '!D62</f>
        <v>0</v>
      </c>
      <c r="E43" s="16">
        <f>'Sch M Summary '!E62</f>
        <v>1973281</v>
      </c>
      <c r="F43" s="16">
        <f>'Sch M Summary '!F62</f>
        <v>0</v>
      </c>
      <c r="G43" s="16">
        <f>'Sch M Summary '!G62</f>
        <v>0</v>
      </c>
      <c r="H43" s="16">
        <f>'Sch M Summary '!H62</f>
        <v>0</v>
      </c>
      <c r="I43" s="16">
        <f t="shared" ref="I43" si="52">SUM(D43:H43)</f>
        <v>1973281</v>
      </c>
      <c r="K43" s="23">
        <f t="shared" si="45"/>
        <v>0</v>
      </c>
      <c r="L43" s="23">
        <f t="shared" si="44"/>
        <v>-414389.01</v>
      </c>
      <c r="M43" s="23">
        <f t="shared" si="44"/>
        <v>0</v>
      </c>
      <c r="N43" s="23">
        <f t="shared" si="44"/>
        <v>0</v>
      </c>
      <c r="O43" s="23">
        <f t="shared" si="44"/>
        <v>0</v>
      </c>
      <c r="P43" s="23">
        <f t="shared" ref="P43" si="53">SUM(K43:O43)</f>
        <v>-414389.01</v>
      </c>
      <c r="Q43" s="30" t="s">
        <v>85</v>
      </c>
      <c r="R43" s="27">
        <v>0</v>
      </c>
      <c r="S43" s="27">
        <v>-414389.01</v>
      </c>
      <c r="T43" s="27"/>
      <c r="U43" s="27"/>
      <c r="V43" s="27"/>
      <c r="W43" s="27">
        <f t="shared" si="10"/>
        <v>-414389.01</v>
      </c>
      <c r="Y43" s="23">
        <f t="shared" si="14"/>
        <v>0</v>
      </c>
    </row>
    <row r="44" spans="1:25" x14ac:dyDescent="0.3">
      <c r="A44" s="41">
        <f>'Sch M Summary '!A63</f>
        <v>997095</v>
      </c>
      <c r="B44" s="41" t="str">
        <f>'Sch M Summary '!B63</f>
        <v>WA REC DEF</v>
      </c>
      <c r="C44" s="41" t="str">
        <f>'Sch M Summary '!C63</f>
        <v>Temp</v>
      </c>
      <c r="D44" s="16">
        <f>'Sch M Summary '!D63</f>
        <v>583268</v>
      </c>
      <c r="E44" s="16">
        <f>'Sch M Summary '!E63</f>
        <v>0</v>
      </c>
      <c r="F44" s="16">
        <f>'Sch M Summary '!F63</f>
        <v>0</v>
      </c>
      <c r="G44" s="16">
        <f>'Sch M Summary '!G63</f>
        <v>0</v>
      </c>
      <c r="H44" s="16">
        <f>'Sch M Summary '!H63</f>
        <v>0</v>
      </c>
      <c r="I44" s="16">
        <f t="shared" si="1"/>
        <v>583268</v>
      </c>
      <c r="K44" s="23">
        <f t="shared" si="45"/>
        <v>-122486.28</v>
      </c>
      <c r="L44" s="23">
        <f t="shared" si="44"/>
        <v>0</v>
      </c>
      <c r="M44" s="23">
        <f t="shared" si="44"/>
        <v>0</v>
      </c>
      <c r="N44" s="23">
        <f t="shared" si="44"/>
        <v>0</v>
      </c>
      <c r="O44" s="23">
        <f t="shared" si="44"/>
        <v>0</v>
      </c>
      <c r="P44" s="23">
        <f t="shared" si="9"/>
        <v>-122486.28</v>
      </c>
      <c r="Q44" s="30" t="s">
        <v>85</v>
      </c>
      <c r="R44" s="27">
        <v>-122486.35</v>
      </c>
      <c r="S44" s="27">
        <v>0</v>
      </c>
      <c r="T44" s="27"/>
      <c r="U44" s="27"/>
      <c r="V44" s="27"/>
      <c r="W44" s="27">
        <f t="shared" si="10"/>
        <v>-122486.35</v>
      </c>
      <c r="Y44" s="23">
        <f t="shared" si="14"/>
        <v>7.0000000006984919E-2</v>
      </c>
    </row>
    <row r="45" spans="1:25" x14ac:dyDescent="0.3">
      <c r="A45" s="41">
        <f>'Sch M Summary '!A64</f>
        <v>997096</v>
      </c>
      <c r="B45" s="41" t="str">
        <f>'Sch M Summary '!B64</f>
        <v>CDA Settlement Costs</v>
      </c>
      <c r="C45" s="41" t="str">
        <f>'Sch M Summary '!C64</f>
        <v>Temp</v>
      </c>
      <c r="D45" s="16">
        <f>'Sch M Summary '!D64</f>
        <v>21395</v>
      </c>
      <c r="E45" s="16">
        <f>'Sch M Summary '!E64</f>
        <v>11324</v>
      </c>
      <c r="F45" s="16">
        <f>'Sch M Summary '!F64</f>
        <v>0</v>
      </c>
      <c r="G45" s="16">
        <f>'Sch M Summary '!G64</f>
        <v>0</v>
      </c>
      <c r="H45" s="16">
        <f>'Sch M Summary '!H64</f>
        <v>0</v>
      </c>
      <c r="I45" s="16">
        <f t="shared" si="1"/>
        <v>32719</v>
      </c>
      <c r="K45" s="23">
        <f t="shared" si="45"/>
        <v>-4492.95</v>
      </c>
      <c r="L45" s="23">
        <f t="shared" si="44"/>
        <v>-2378.04</v>
      </c>
      <c r="M45" s="23">
        <f t="shared" si="44"/>
        <v>0</v>
      </c>
      <c r="N45" s="23">
        <f t="shared" si="44"/>
        <v>0</v>
      </c>
      <c r="O45" s="23">
        <f t="shared" si="44"/>
        <v>0</v>
      </c>
      <c r="P45" s="23">
        <f t="shared" si="9"/>
        <v>-6870.99</v>
      </c>
      <c r="Q45" s="30" t="s">
        <v>84</v>
      </c>
      <c r="R45" s="26">
        <f>$X45*R$2</f>
        <v>-4571.2608132000005</v>
      </c>
      <c r="S45" s="26">
        <f>$X45*S$2</f>
        <v>-2299.8191867999999</v>
      </c>
      <c r="T45" s="26"/>
      <c r="U45" s="26"/>
      <c r="V45" s="26"/>
      <c r="W45" s="26">
        <f t="shared" si="10"/>
        <v>-6871.08</v>
      </c>
      <c r="X45" s="25">
        <v>-6871.08</v>
      </c>
      <c r="Y45" s="23">
        <f t="shared" si="14"/>
        <v>9.0000000000145519E-2</v>
      </c>
    </row>
    <row r="46" spans="1:25" x14ac:dyDescent="0.3">
      <c r="A46" s="41">
        <f>'Sch M Summary '!A65</f>
        <v>997098</v>
      </c>
      <c r="B46" s="41" t="str">
        <f>'Sch M Summary '!B65</f>
        <v>Provision for Rate Refund</v>
      </c>
      <c r="C46" s="41" t="str">
        <f>'Sch M Summary '!C65</f>
        <v>Temp</v>
      </c>
      <c r="D46" s="16">
        <f>'Sch M Summary '!D65</f>
        <v>373826</v>
      </c>
      <c r="E46" s="16">
        <f>'Sch M Summary '!E65</f>
        <v>-1487081</v>
      </c>
      <c r="F46" s="16">
        <f>'Sch M Summary '!F65</f>
        <v>806740</v>
      </c>
      <c r="G46" s="16">
        <f>'Sch M Summary '!G65</f>
        <v>0</v>
      </c>
      <c r="H46" s="16">
        <f>'Sch M Summary '!H65</f>
        <v>0</v>
      </c>
      <c r="I46" s="16">
        <f t="shared" ref="I46" si="54">SUM(D46:H46)</f>
        <v>-306515</v>
      </c>
      <c r="K46" s="23">
        <f t="shared" si="45"/>
        <v>-78503.459999999992</v>
      </c>
      <c r="L46" s="23">
        <f t="shared" si="44"/>
        <v>312287.01</v>
      </c>
      <c r="M46" s="23">
        <f t="shared" si="44"/>
        <v>-169415.4</v>
      </c>
      <c r="N46" s="23">
        <f t="shared" si="44"/>
        <v>0</v>
      </c>
      <c r="O46" s="23">
        <f t="shared" si="44"/>
        <v>0</v>
      </c>
      <c r="P46" s="23">
        <f t="shared" ref="P46" si="55">SUM(K46:O46)</f>
        <v>64368.150000000023</v>
      </c>
      <c r="Q46" s="30" t="s">
        <v>85</v>
      </c>
      <c r="R46" s="37">
        <v>-78503.67</v>
      </c>
      <c r="S46" s="27">
        <v>312287</v>
      </c>
      <c r="T46" s="27">
        <f>-23885.4-145530</f>
        <v>-169415.4</v>
      </c>
      <c r="U46" s="27"/>
      <c r="V46" s="27"/>
      <c r="W46" s="27">
        <f t="shared" ref="W46" si="56">SUM(R46:V46)</f>
        <v>64367.930000000022</v>
      </c>
      <c r="Y46" s="23">
        <f t="shared" ref="Y46" si="57">P46-W46</f>
        <v>0.22000000000116415</v>
      </c>
    </row>
    <row r="47" spans="1:25" x14ac:dyDescent="0.3">
      <c r="A47" s="41">
        <f>'Sch M Summary '!A66</f>
        <v>997099</v>
      </c>
      <c r="B47" s="41" t="str">
        <f>'Sch M Summary '!B66</f>
        <v>Kettle Falls Diesel Leak</v>
      </c>
      <c r="C47" s="41" t="str">
        <f>'Sch M Summary '!C66</f>
        <v>Temp</v>
      </c>
      <c r="D47" s="16">
        <f>'Sch M Summary '!D66</f>
        <v>-96550</v>
      </c>
      <c r="E47" s="16">
        <f>'Sch M Summary '!E66</f>
        <v>-51102</v>
      </c>
      <c r="F47" s="16">
        <f>'Sch M Summary '!F66</f>
        <v>0</v>
      </c>
      <c r="G47" s="16">
        <f>'Sch M Summary '!G66</f>
        <v>0</v>
      </c>
      <c r="H47" s="16">
        <f>'Sch M Summary '!H66</f>
        <v>0</v>
      </c>
      <c r="I47" s="16">
        <f t="shared" si="1"/>
        <v>-147652</v>
      </c>
      <c r="K47" s="23">
        <f t="shared" si="45"/>
        <v>20275.5</v>
      </c>
      <c r="L47" s="23">
        <f t="shared" si="44"/>
        <v>10731.42</v>
      </c>
      <c r="M47" s="23">
        <f t="shared" si="44"/>
        <v>0</v>
      </c>
      <c r="N47" s="23">
        <f t="shared" si="44"/>
        <v>0</v>
      </c>
      <c r="O47" s="23">
        <f t="shared" si="44"/>
        <v>0</v>
      </c>
      <c r="P47" s="23">
        <f t="shared" si="9"/>
        <v>31006.92</v>
      </c>
      <c r="Q47" s="30" t="s">
        <v>84</v>
      </c>
      <c r="R47" s="26">
        <f>$X47*R$2</f>
        <v>20628.600459700003</v>
      </c>
      <c r="S47" s="26">
        <f>$X47*S$2</f>
        <v>10378.329540300001</v>
      </c>
      <c r="T47" s="26"/>
      <c r="U47" s="26"/>
      <c r="V47" s="26"/>
      <c r="W47" s="26">
        <f t="shared" ref="W47" si="58">SUM(R47:V47)</f>
        <v>31006.930000000004</v>
      </c>
      <c r="X47" s="25">
        <v>31006.93</v>
      </c>
      <c r="Y47" s="23">
        <f t="shared" si="14"/>
        <v>-1.0000000005675247E-2</v>
      </c>
    </row>
    <row r="48" spans="1:25" x14ac:dyDescent="0.3">
      <c r="A48" s="41">
        <f>'Sch M Summary '!A67</f>
        <v>997100</v>
      </c>
      <c r="B48" s="41" t="str">
        <f>'Sch M Summary '!B67</f>
        <v>WA REC Amort</v>
      </c>
      <c r="C48" s="41" t="str">
        <f>'Sch M Summary '!C67</f>
        <v>Temp</v>
      </c>
      <c r="D48" s="16">
        <f>'Sch M Summary '!D67</f>
        <v>0</v>
      </c>
      <c r="E48" s="16">
        <f>'Sch M Summary '!E67</f>
        <v>0</v>
      </c>
      <c r="F48" s="16">
        <f>'Sch M Summary '!F67</f>
        <v>0</v>
      </c>
      <c r="G48" s="16">
        <f>'Sch M Summary '!G67</f>
        <v>0</v>
      </c>
      <c r="H48" s="16">
        <f>'Sch M Summary '!H67</f>
        <v>0</v>
      </c>
      <c r="I48" s="16">
        <f t="shared" si="1"/>
        <v>0</v>
      </c>
      <c r="K48" s="23">
        <f t="shared" si="45"/>
        <v>0</v>
      </c>
      <c r="L48" s="23">
        <f t="shared" si="44"/>
        <v>0</v>
      </c>
      <c r="M48" s="23">
        <f t="shared" si="44"/>
        <v>0</v>
      </c>
      <c r="N48" s="23">
        <f t="shared" si="44"/>
        <v>0</v>
      </c>
      <c r="O48" s="23">
        <f t="shared" si="44"/>
        <v>0</v>
      </c>
      <c r="P48" s="23">
        <f t="shared" si="9"/>
        <v>0</v>
      </c>
      <c r="Q48" s="30" t="s">
        <v>85</v>
      </c>
      <c r="R48" s="27"/>
      <c r="S48" s="27"/>
      <c r="T48" s="27"/>
      <c r="U48" s="27"/>
      <c r="V48" s="27"/>
      <c r="W48" s="27">
        <f t="shared" si="10"/>
        <v>0</v>
      </c>
      <c r="Y48" s="23">
        <f t="shared" si="14"/>
        <v>0</v>
      </c>
    </row>
    <row r="49" spans="1:26" x14ac:dyDescent="0.3">
      <c r="A49" s="41">
        <f>'Sch M Summary '!A68</f>
        <v>997102</v>
      </c>
      <c r="B49" s="41" t="str">
        <f>'Sch M Summary '!B68</f>
        <v>Amort Idaho Earnings Test (254229)</v>
      </c>
      <c r="C49" s="41" t="str">
        <f>'Sch M Summary '!C68</f>
        <v>Temp</v>
      </c>
      <c r="D49" s="16">
        <f>'Sch M Summary '!D68</f>
        <v>0</v>
      </c>
      <c r="E49" s="16">
        <f>'Sch M Summary '!E68</f>
        <v>-23524</v>
      </c>
      <c r="F49" s="16">
        <f>'Sch M Summary '!F68</f>
        <v>0</v>
      </c>
      <c r="G49" s="16">
        <f>'Sch M Summary '!G68</f>
        <v>-65272</v>
      </c>
      <c r="H49" s="16">
        <f>'Sch M Summary '!H68</f>
        <v>0</v>
      </c>
      <c r="I49" s="16">
        <f t="shared" si="1"/>
        <v>-88796</v>
      </c>
      <c r="K49" s="23">
        <f t="shared" si="45"/>
        <v>0</v>
      </c>
      <c r="L49" s="23">
        <f t="shared" si="44"/>
        <v>4940.04</v>
      </c>
      <c r="M49" s="23">
        <f t="shared" si="44"/>
        <v>0</v>
      </c>
      <c r="N49" s="23">
        <f t="shared" si="44"/>
        <v>13707.119999999999</v>
      </c>
      <c r="O49" s="23">
        <f t="shared" si="44"/>
        <v>0</v>
      </c>
      <c r="P49" s="23">
        <f t="shared" si="9"/>
        <v>18647.16</v>
      </c>
      <c r="Q49" s="30" t="s">
        <v>85</v>
      </c>
      <c r="R49" s="27"/>
      <c r="S49" s="27">
        <v>4940.04</v>
      </c>
      <c r="T49" s="27"/>
      <c r="U49" s="27">
        <v>13707.04</v>
      </c>
      <c r="V49" s="27"/>
      <c r="W49" s="27">
        <f t="shared" si="10"/>
        <v>18647.080000000002</v>
      </c>
      <c r="Y49" s="23">
        <f t="shared" si="14"/>
        <v>7.9999999998108251E-2</v>
      </c>
    </row>
    <row r="50" spans="1:26" x14ac:dyDescent="0.3">
      <c r="A50" s="41">
        <f>'Sch M Summary '!A69</f>
        <v>997103</v>
      </c>
      <c r="B50" s="41" t="str">
        <f>'Sch M Summary '!B69</f>
        <v>Def Project Compass</v>
      </c>
      <c r="C50" s="41" t="str">
        <f>'Sch M Summary '!C69</f>
        <v>Temp</v>
      </c>
      <c r="D50" s="16">
        <f>'Sch M Summary '!D69</f>
        <v>0</v>
      </c>
      <c r="E50" s="16">
        <f>'Sch M Summary '!E69</f>
        <v>668590</v>
      </c>
      <c r="F50" s="16">
        <f>'Sch M Summary '!F69</f>
        <v>0</v>
      </c>
      <c r="G50" s="16">
        <f>'Sch M Summary '!G69</f>
        <v>168136</v>
      </c>
      <c r="H50" s="16">
        <f>'Sch M Summary '!H69</f>
        <v>0</v>
      </c>
      <c r="I50" s="16">
        <f t="shared" si="1"/>
        <v>836726</v>
      </c>
      <c r="K50" s="23">
        <f t="shared" si="45"/>
        <v>0</v>
      </c>
      <c r="L50" s="23">
        <f t="shared" si="44"/>
        <v>-140403.9</v>
      </c>
      <c r="M50" s="23">
        <f t="shared" si="44"/>
        <v>0</v>
      </c>
      <c r="N50" s="23">
        <f t="shared" si="44"/>
        <v>-35308.559999999998</v>
      </c>
      <c r="O50" s="23">
        <f t="shared" si="44"/>
        <v>0</v>
      </c>
      <c r="P50" s="23">
        <f t="shared" si="9"/>
        <v>-175712.46</v>
      </c>
      <c r="Q50" s="30" t="s">
        <v>85</v>
      </c>
      <c r="R50" s="27"/>
      <c r="S50" s="27">
        <v>-140403.96</v>
      </c>
      <c r="T50" s="27"/>
      <c r="U50" s="27">
        <v>-35308.559999999998</v>
      </c>
      <c r="V50" s="27"/>
      <c r="W50" s="27">
        <f t="shared" si="10"/>
        <v>-175712.52</v>
      </c>
      <c r="Y50" s="23">
        <f t="shared" si="14"/>
        <v>5.9999999997671694E-2</v>
      </c>
    </row>
    <row r="51" spans="1:26" x14ac:dyDescent="0.3">
      <c r="A51" s="41">
        <f>'Sch M Summary '!A70</f>
        <v>997104</v>
      </c>
      <c r="B51" s="41" t="str">
        <f>'Sch M Summary '!B70</f>
        <v>Spokane River TDG</v>
      </c>
      <c r="C51" s="41" t="str">
        <f>'Sch M Summary '!C70</f>
        <v>Temp</v>
      </c>
      <c r="D51" s="16">
        <f>'Sch M Summary '!D70</f>
        <v>0</v>
      </c>
      <c r="E51" s="16">
        <f>'Sch M Summary '!E70</f>
        <v>117223</v>
      </c>
      <c r="F51" s="16">
        <f>'Sch M Summary '!F70</f>
        <v>0</v>
      </c>
      <c r="G51" s="16">
        <f>'Sch M Summary '!G70</f>
        <v>0</v>
      </c>
      <c r="H51" s="16">
        <f>'Sch M Summary '!H70</f>
        <v>0</v>
      </c>
      <c r="I51" s="16">
        <f t="shared" ref="I51:I56" si="59">SUM(D51:H51)</f>
        <v>117223</v>
      </c>
      <c r="K51" s="23">
        <f t="shared" si="45"/>
        <v>0</v>
      </c>
      <c r="L51" s="23">
        <f t="shared" ref="L51:L52" si="60">E51*-0.21</f>
        <v>-24616.829999999998</v>
      </c>
      <c r="M51" s="23">
        <f t="shared" ref="M51:M52" si="61">F51*-0.21</f>
        <v>0</v>
      </c>
      <c r="N51" s="23">
        <f t="shared" ref="N51:N52" si="62">G51*-0.21</f>
        <v>0</v>
      </c>
      <c r="O51" s="23">
        <f t="shared" ref="O51:O52" si="63">H51*-0.21</f>
        <v>0</v>
      </c>
      <c r="P51" s="23">
        <f t="shared" si="9"/>
        <v>-24616.829999999998</v>
      </c>
      <c r="Q51" s="30" t="s">
        <v>85</v>
      </c>
      <c r="R51" s="27"/>
      <c r="S51" s="27">
        <v>-24616.92</v>
      </c>
      <c r="T51" s="27"/>
      <c r="U51" s="27"/>
      <c r="V51" s="27"/>
      <c r="W51" s="27">
        <f t="shared" si="10"/>
        <v>-24616.92</v>
      </c>
      <c r="Y51" s="23">
        <f t="shared" si="14"/>
        <v>9.0000000000145519E-2</v>
      </c>
    </row>
    <row r="52" spans="1:26" x14ac:dyDescent="0.3">
      <c r="A52" s="41">
        <f>'Sch M Summary '!A71</f>
        <v>997105</v>
      </c>
      <c r="B52" s="41" t="str">
        <f>'Sch M Summary '!B71</f>
        <v>WA Natural Gas Line Extension</v>
      </c>
      <c r="C52" s="41" t="str">
        <f>'Sch M Summary '!C71</f>
        <v>Temp</v>
      </c>
      <c r="D52" s="16">
        <f>'Sch M Summary '!D71</f>
        <v>0</v>
      </c>
      <c r="E52" s="16">
        <f>'Sch M Summary '!E71</f>
        <v>0</v>
      </c>
      <c r="F52" s="16">
        <f>'Sch M Summary '!F71</f>
        <v>-3058661</v>
      </c>
      <c r="G52" s="16">
        <f>'Sch M Summary '!G71</f>
        <v>0</v>
      </c>
      <c r="H52" s="16">
        <f>'Sch M Summary '!H71</f>
        <v>0</v>
      </c>
      <c r="I52" s="16">
        <f t="shared" si="59"/>
        <v>-3058661</v>
      </c>
      <c r="K52" s="23">
        <f t="shared" si="45"/>
        <v>0</v>
      </c>
      <c r="L52" s="23">
        <f t="shared" si="60"/>
        <v>0</v>
      </c>
      <c r="M52" s="23">
        <f t="shared" si="61"/>
        <v>642318.80999999994</v>
      </c>
      <c r="N52" s="23">
        <f t="shared" si="62"/>
        <v>0</v>
      </c>
      <c r="O52" s="23">
        <f t="shared" si="63"/>
        <v>0</v>
      </c>
      <c r="P52" s="23">
        <f t="shared" si="9"/>
        <v>642318.80999999994</v>
      </c>
      <c r="Q52" s="30" t="s">
        <v>85</v>
      </c>
      <c r="R52" s="27"/>
      <c r="S52" s="27"/>
      <c r="T52" s="27">
        <v>642318.86</v>
      </c>
      <c r="U52" s="27"/>
      <c r="V52" s="27"/>
      <c r="W52" s="27">
        <f t="shared" si="10"/>
        <v>642318.86</v>
      </c>
      <c r="Y52" s="23">
        <f t="shared" si="14"/>
        <v>-5.0000000046566129E-2</v>
      </c>
    </row>
    <row r="53" spans="1:26" x14ac:dyDescent="0.3">
      <c r="A53" s="41">
        <f>'Sch M Summary '!A72</f>
        <v>997107</v>
      </c>
      <c r="B53" s="41" t="str">
        <f>'Sch M Summary '!B72</f>
        <v>MDM System</v>
      </c>
      <c r="C53" s="41" t="str">
        <f>'Sch M Summary '!C72</f>
        <v>Temp</v>
      </c>
      <c r="D53" s="16">
        <f>'Sch M Summary '!D72</f>
        <v>-2309890</v>
      </c>
      <c r="E53" s="16">
        <f>'Sch M Summary '!E72</f>
        <v>0</v>
      </c>
      <c r="F53" s="16">
        <f>'Sch M Summary '!F72</f>
        <v>-768733</v>
      </c>
      <c r="G53" s="16">
        <f>'Sch M Summary '!G72</f>
        <v>0</v>
      </c>
      <c r="H53" s="16">
        <f>'Sch M Summary '!H72</f>
        <v>249000</v>
      </c>
      <c r="I53" s="16">
        <f t="shared" si="59"/>
        <v>-2829623</v>
      </c>
      <c r="K53" s="23">
        <f t="shared" ref="K53:K59" si="64">D53*-0.21</f>
        <v>485076.89999999997</v>
      </c>
      <c r="L53" s="23">
        <f t="shared" ref="L53:L59" si="65">E53*-0.21</f>
        <v>0</v>
      </c>
      <c r="M53" s="23">
        <f t="shared" ref="M53:M59" si="66">F53*-0.21</f>
        <v>161433.93</v>
      </c>
      <c r="N53" s="23">
        <f t="shared" ref="N53:N59" si="67">G53*-0.21</f>
        <v>0</v>
      </c>
      <c r="O53" s="23">
        <f t="shared" ref="O53:O59" si="68">H53*-0.21</f>
        <v>-52290</v>
      </c>
      <c r="P53" s="23">
        <f t="shared" ref="P53:P59" si="69">SUM(K53:O53)</f>
        <v>594220.82999999996</v>
      </c>
      <c r="Q53" s="30" t="s">
        <v>85</v>
      </c>
      <c r="R53" s="37">
        <v>485076.93</v>
      </c>
      <c r="S53" s="37"/>
      <c r="T53" s="37">
        <v>161433.93</v>
      </c>
      <c r="U53" s="37"/>
      <c r="V53" s="37">
        <v>-52290</v>
      </c>
      <c r="W53" s="27">
        <f t="shared" ref="W53:W58" si="70">SUM(R53:V53)</f>
        <v>594220.86</v>
      </c>
      <c r="Y53" s="23">
        <f t="shared" si="14"/>
        <v>-3.0000000027939677E-2</v>
      </c>
    </row>
    <row r="54" spans="1:26" x14ac:dyDescent="0.3">
      <c r="A54" s="41">
        <f>'Sch M Summary '!A73</f>
        <v>997108</v>
      </c>
      <c r="B54" s="41" t="str">
        <f>'Sch M Summary '!B73</f>
        <v>Provision for Rate Refund - Tax Reform</v>
      </c>
      <c r="C54" s="41" t="str">
        <f>'Sch M Summary '!C73</f>
        <v>Temp</v>
      </c>
      <c r="D54" s="16">
        <f>'Sch M Summary '!D73</f>
        <v>8232480</v>
      </c>
      <c r="E54" s="16">
        <f>'Sch M Summary '!E73</f>
        <v>5766452</v>
      </c>
      <c r="F54" s="16">
        <f>'Sch M Summary '!F73</f>
        <v>2183047</v>
      </c>
      <c r="G54" s="16">
        <f>'Sch M Summary '!G73</f>
        <v>0</v>
      </c>
      <c r="H54" s="16">
        <f>'Sch M Summary '!H73</f>
        <v>3462301</v>
      </c>
      <c r="I54" s="16">
        <f t="shared" si="59"/>
        <v>19644280</v>
      </c>
      <c r="K54" s="23">
        <f t="shared" si="64"/>
        <v>-1728820.8</v>
      </c>
      <c r="L54" s="23">
        <f t="shared" si="65"/>
        <v>-1210954.92</v>
      </c>
      <c r="M54" s="23">
        <f t="shared" si="66"/>
        <v>-458439.87</v>
      </c>
      <c r="N54" s="23">
        <f t="shared" si="67"/>
        <v>0</v>
      </c>
      <c r="O54" s="23">
        <f t="shared" si="68"/>
        <v>-727083.21</v>
      </c>
      <c r="P54" s="23">
        <f t="shared" si="69"/>
        <v>-4125298.8</v>
      </c>
      <c r="Q54" s="30" t="s">
        <v>85</v>
      </c>
      <c r="R54" s="27">
        <f>33966.86+40640.18+42922.53-130.23-6291.62-27675.24-1793886.86+57964.38-49746.66-10261.99</f>
        <v>-1712498.6500000001</v>
      </c>
      <c r="S54" s="27">
        <f>5026.83+38631.4+36944.43+92289.37-834.82-1003.31-3188.7-1456104.18+87458.98+12273.29-6264.16</f>
        <v>-1194770.8699999999</v>
      </c>
      <c r="T54" s="27">
        <f>11612.24+23901.11-18734.16-54652.81-723.95-10888.29-391517.71-1256.43-12634.19-3023.64</f>
        <v>-457917.83</v>
      </c>
      <c r="U54" s="27">
        <f>1325.52+22414.57-9813.43-3771.12+66.38-187.55-1204.35-228418.95-4271.07+5065.31-1814.15</f>
        <v>-220608.84000000003</v>
      </c>
      <c r="V54" s="27">
        <v>-693922</v>
      </c>
      <c r="W54" s="27">
        <f t="shared" si="70"/>
        <v>-4279718.1899999995</v>
      </c>
      <c r="Y54" s="23">
        <f t="shared" si="14"/>
        <v>154419.38999999966</v>
      </c>
      <c r="Z54" t="s">
        <v>110</v>
      </c>
    </row>
    <row r="55" spans="1:26" x14ac:dyDescent="0.3">
      <c r="A55" s="41">
        <f>'Sch M Summary '!A74</f>
        <v>997109</v>
      </c>
      <c r="B55" s="41" t="str">
        <f>'Sch M Summary '!B74</f>
        <v>Tax Reform Amortization</v>
      </c>
      <c r="C55" s="41" t="str">
        <f>'Sch M Summary '!C74</f>
        <v>Temp</v>
      </c>
      <c r="D55" s="16">
        <f>'Sch M Summary '!D74</f>
        <v>-3592370</v>
      </c>
      <c r="E55" s="16">
        <f>'Sch M Summary '!E74</f>
        <v>-77067</v>
      </c>
      <c r="F55" s="16">
        <f>'Sch M Summary '!F74</f>
        <v>-785871</v>
      </c>
      <c r="G55" s="16">
        <f>'Sch M Summary '!G74</f>
        <v>-8685</v>
      </c>
      <c r="H55" s="16">
        <f>'Sch M Summary '!H74</f>
        <v>-157912</v>
      </c>
      <c r="I55" s="16">
        <f t="shared" si="59"/>
        <v>-4621905</v>
      </c>
      <c r="K55" s="23">
        <f t="shared" si="64"/>
        <v>754397.7</v>
      </c>
      <c r="L55" s="23">
        <f t="shared" si="65"/>
        <v>16184.07</v>
      </c>
      <c r="M55" s="23">
        <f t="shared" si="66"/>
        <v>165032.91</v>
      </c>
      <c r="N55" s="23">
        <f t="shared" si="67"/>
        <v>1823.85</v>
      </c>
      <c r="O55" s="23">
        <f t="shared" si="68"/>
        <v>33161.519999999997</v>
      </c>
      <c r="P55" s="23">
        <f t="shared" si="69"/>
        <v>970600.04999999993</v>
      </c>
      <c r="Q55" s="30" t="s">
        <v>85</v>
      </c>
      <c r="R55" s="27">
        <v>738075.45</v>
      </c>
      <c r="S55" s="27"/>
      <c r="T55" s="27">
        <f>164510.84</f>
        <v>164510.84</v>
      </c>
      <c r="U55" s="27">
        <f>0</f>
        <v>0</v>
      </c>
      <c r="V55" s="27"/>
      <c r="W55" s="27">
        <f t="shared" si="70"/>
        <v>902586.28999999992</v>
      </c>
      <c r="Y55" s="23">
        <f t="shared" si="14"/>
        <v>68013.760000000009</v>
      </c>
      <c r="Z55" t="s">
        <v>111</v>
      </c>
    </row>
    <row r="56" spans="1:26" x14ac:dyDescent="0.3">
      <c r="A56" s="41">
        <f>'Sch M Summary '!A75</f>
        <v>997110</v>
      </c>
      <c r="B56" s="41" t="str">
        <f>'Sch M Summary '!B75</f>
        <v>FISERVE</v>
      </c>
      <c r="C56" s="41" t="str">
        <f>'Sch M Summary '!C75</f>
        <v>Temp</v>
      </c>
      <c r="D56" s="16">
        <f>'Sch M Summary '!D75</f>
        <v>-527418</v>
      </c>
      <c r="E56" s="16">
        <f>'Sch M Summary '!E75</f>
        <v>-246840</v>
      </c>
      <c r="F56" s="16">
        <f>'Sch M Summary '!F75</f>
        <v>-338627</v>
      </c>
      <c r="G56" s="16">
        <f>'Sch M Summary '!G75</f>
        <v>-158491</v>
      </c>
      <c r="H56" s="16">
        <f>'Sch M Summary '!H75</f>
        <v>20301</v>
      </c>
      <c r="I56" s="16">
        <f t="shared" si="59"/>
        <v>-1251075</v>
      </c>
      <c r="K56" s="23">
        <f t="shared" si="64"/>
        <v>110757.78</v>
      </c>
      <c r="L56" s="23">
        <f t="shared" si="65"/>
        <v>51836.4</v>
      </c>
      <c r="M56" s="23">
        <f t="shared" si="66"/>
        <v>71111.67</v>
      </c>
      <c r="N56" s="23">
        <f t="shared" si="67"/>
        <v>33283.11</v>
      </c>
      <c r="O56" s="23">
        <f t="shared" si="68"/>
        <v>-4263.21</v>
      </c>
      <c r="P56" s="23">
        <f t="shared" si="69"/>
        <v>262725.74999999994</v>
      </c>
      <c r="Q56" s="30" t="s">
        <v>85</v>
      </c>
      <c r="R56" s="27">
        <v>110757.75</v>
      </c>
      <c r="S56" s="27">
        <v>51836.47</v>
      </c>
      <c r="T56" s="27">
        <v>71111.59</v>
      </c>
      <c r="U56" s="27">
        <v>33283.15</v>
      </c>
      <c r="V56" s="27">
        <v>-4263.18</v>
      </c>
      <c r="W56" s="27">
        <f t="shared" si="70"/>
        <v>262725.78000000003</v>
      </c>
      <c r="Y56" s="23">
        <f t="shared" si="14"/>
        <v>-3.0000000086147338E-2</v>
      </c>
    </row>
    <row r="57" spans="1:26" x14ac:dyDescent="0.3">
      <c r="A57" s="41">
        <f>'Sch M Summary '!A76</f>
        <v>997114</v>
      </c>
      <c r="B57" s="41" t="str">
        <f>'Sch M Summary '!B76</f>
        <v>AFUDC Debt CWIP</v>
      </c>
      <c r="C57" s="41" t="str">
        <f>'Sch M Summary '!C76</f>
        <v>Temp</v>
      </c>
      <c r="D57" s="16">
        <f>'Sch M Summary '!D76</f>
        <v>-53368</v>
      </c>
      <c r="E57" s="16">
        <f>'Sch M Summary '!E76</f>
        <v>-26849</v>
      </c>
      <c r="F57" s="16">
        <f>'Sch M Summary '!F76</f>
        <v>-16251</v>
      </c>
      <c r="G57" s="16">
        <f>'Sch M Summary '!G76</f>
        <v>-7252</v>
      </c>
      <c r="H57" s="16">
        <f>'Sch M Summary '!H76</f>
        <v>-10655</v>
      </c>
      <c r="I57" s="16">
        <f t="shared" ref="I57:I59" si="71">SUM(D57:H57)</f>
        <v>-114375</v>
      </c>
      <c r="K57" s="23">
        <f t="shared" si="64"/>
        <v>11207.279999999999</v>
      </c>
      <c r="L57" s="23">
        <f t="shared" si="65"/>
        <v>5638.29</v>
      </c>
      <c r="M57" s="23">
        <f t="shared" si="66"/>
        <v>3412.71</v>
      </c>
      <c r="N57" s="23">
        <f t="shared" si="67"/>
        <v>1522.9199999999998</v>
      </c>
      <c r="O57" s="23">
        <f t="shared" si="68"/>
        <v>2237.5499999999997</v>
      </c>
      <c r="P57" s="23">
        <f t="shared" si="69"/>
        <v>24018.749999999996</v>
      </c>
      <c r="Q57" s="30" t="s">
        <v>84</v>
      </c>
      <c r="R57" s="26">
        <f t="shared" ref="R57:V57" si="72">$X57*R$4</f>
        <v>11207.250823585766</v>
      </c>
      <c r="S57" s="26">
        <f t="shared" si="72"/>
        <v>5638.4117049142351</v>
      </c>
      <c r="T57" s="26">
        <f t="shared" si="72"/>
        <v>3412.7522994040551</v>
      </c>
      <c r="U57" s="26">
        <f t="shared" si="72"/>
        <v>1522.8935164959451</v>
      </c>
      <c r="V57" s="26">
        <f t="shared" si="72"/>
        <v>2237.6016556</v>
      </c>
      <c r="W57" s="26">
        <f t="shared" ref="W57" si="73">SUM(R57:V57)</f>
        <v>24018.91</v>
      </c>
      <c r="X57" s="25">
        <v>24018.91</v>
      </c>
      <c r="Y57" s="23">
        <f t="shared" si="14"/>
        <v>-0.16000000000349246</v>
      </c>
    </row>
    <row r="58" spans="1:26" x14ac:dyDescent="0.3">
      <c r="A58" s="41">
        <f>'Sch M Summary '!A77</f>
        <v>997115</v>
      </c>
      <c r="B58" s="41" t="str">
        <f>'Sch M Summary '!B77</f>
        <v>AFUDC Equity DFIT Deferral</v>
      </c>
      <c r="C58" s="41" t="str">
        <f>'Sch M Summary '!C77</f>
        <v>Temp</v>
      </c>
      <c r="D58" s="16">
        <f>'Sch M Summary '!D77</f>
        <v>797405</v>
      </c>
      <c r="E58" s="16">
        <f>'Sch M Summary '!E77</f>
        <v>389404</v>
      </c>
      <c r="F58" s="16">
        <f>'Sch M Summary '!F77</f>
        <v>234951</v>
      </c>
      <c r="G58" s="16">
        <f>'Sch M Summary '!G77</f>
        <v>112774</v>
      </c>
      <c r="H58" s="16">
        <f>'Sch M Summary '!H77</f>
        <v>157643</v>
      </c>
      <c r="I58" s="16">
        <f t="shared" si="71"/>
        <v>1692177</v>
      </c>
      <c r="K58" s="23">
        <f t="shared" si="64"/>
        <v>-167455.04999999999</v>
      </c>
      <c r="L58" s="23">
        <f t="shared" si="65"/>
        <v>-81774.84</v>
      </c>
      <c r="M58" s="23">
        <f t="shared" si="66"/>
        <v>-49339.71</v>
      </c>
      <c r="N58" s="23">
        <f t="shared" si="67"/>
        <v>-23682.54</v>
      </c>
      <c r="O58" s="23">
        <f t="shared" si="68"/>
        <v>-33105.03</v>
      </c>
      <c r="P58" s="23">
        <f t="shared" si="69"/>
        <v>-355357.16999999993</v>
      </c>
      <c r="Q58" s="30" t="s">
        <v>85</v>
      </c>
      <c r="R58" s="27">
        <v>-167455.01999999999</v>
      </c>
      <c r="S58" s="27">
        <v>-81774.8</v>
      </c>
      <c r="T58" s="27">
        <v>-49339.75</v>
      </c>
      <c r="U58" s="27">
        <v>-23682.61</v>
      </c>
      <c r="V58" s="27">
        <v>-33105.08</v>
      </c>
      <c r="W58" s="27">
        <f t="shared" si="70"/>
        <v>-355357.26</v>
      </c>
      <c r="Y58" s="23">
        <f t="shared" si="14"/>
        <v>9.0000000083819032E-2</v>
      </c>
    </row>
    <row r="59" spans="1:26" x14ac:dyDescent="0.3">
      <c r="A59" s="41">
        <f>'Sch M Summary '!A78</f>
        <v>0</v>
      </c>
      <c r="B59" s="41">
        <f>'Sch M Summary '!B78</f>
        <v>0</v>
      </c>
      <c r="C59" s="41" t="str">
        <f>'Sch M Summary '!C78</f>
        <v>Temp</v>
      </c>
      <c r="D59" s="16">
        <f>'Sch M Summary '!D78</f>
        <v>0</v>
      </c>
      <c r="E59" s="16">
        <f>'Sch M Summary '!E78</f>
        <v>0</v>
      </c>
      <c r="F59" s="16">
        <f>'Sch M Summary '!F78</f>
        <v>0</v>
      </c>
      <c r="G59" s="16">
        <f>'Sch M Summary '!G78</f>
        <v>0</v>
      </c>
      <c r="H59" s="16">
        <f>'Sch M Summary '!H78</f>
        <v>0</v>
      </c>
      <c r="I59" s="16">
        <f t="shared" si="71"/>
        <v>0</v>
      </c>
      <c r="K59" s="23">
        <f t="shared" si="64"/>
        <v>0</v>
      </c>
      <c r="L59" s="23">
        <f t="shared" si="65"/>
        <v>0</v>
      </c>
      <c r="M59" s="23">
        <f t="shared" si="66"/>
        <v>0</v>
      </c>
      <c r="N59" s="23">
        <f t="shared" si="67"/>
        <v>0</v>
      </c>
      <c r="O59" s="23">
        <f t="shared" si="68"/>
        <v>0</v>
      </c>
      <c r="P59" s="23">
        <f t="shared" si="69"/>
        <v>0</v>
      </c>
      <c r="Q59" s="30"/>
      <c r="R59" s="37"/>
      <c r="S59" s="37"/>
      <c r="T59" s="37"/>
      <c r="U59" s="37"/>
      <c r="V59" s="37"/>
      <c r="W59" s="27">
        <f t="shared" si="10"/>
        <v>0</v>
      </c>
      <c r="Y59" s="23">
        <f t="shared" si="14"/>
        <v>0</v>
      </c>
    </row>
    <row r="60" spans="1:26" x14ac:dyDescent="0.3">
      <c r="A60" s="9"/>
      <c r="B60" s="5"/>
      <c r="C60" s="5"/>
      <c r="D60" s="11">
        <f t="shared" ref="D60:I60" si="74">SUM(D7:D59)</f>
        <v>4854252</v>
      </c>
      <c r="E60" s="11">
        <f t="shared" si="74"/>
        <v>8032800</v>
      </c>
      <c r="F60" s="11">
        <f t="shared" si="74"/>
        <v>-586546</v>
      </c>
      <c r="G60" s="11">
        <f t="shared" si="74"/>
        <v>1253764</v>
      </c>
      <c r="H60" s="11">
        <f t="shared" si="74"/>
        <v>-3209</v>
      </c>
      <c r="I60" s="11">
        <f t="shared" si="74"/>
        <v>13551061</v>
      </c>
      <c r="K60" s="11">
        <f t="shared" ref="K60:P60" si="75">SUM(K7:K59)</f>
        <v>-1019392.9199999999</v>
      </c>
      <c r="L60" s="11">
        <f t="shared" si="75"/>
        <v>-1686888</v>
      </c>
      <c r="M60" s="11">
        <f t="shared" si="75"/>
        <v>123174.65999999992</v>
      </c>
      <c r="N60" s="11">
        <f t="shared" si="75"/>
        <v>-263290.44000000006</v>
      </c>
      <c r="O60" s="11">
        <f t="shared" si="75"/>
        <v>673.89000000005763</v>
      </c>
      <c r="P60" s="11">
        <f t="shared" si="75"/>
        <v>-2845722.810000001</v>
      </c>
      <c r="R60" s="11">
        <f t="shared" ref="R60:W60" si="76">SUM(R7:R59)</f>
        <v>-1149209.1474062975</v>
      </c>
      <c r="S60" s="11">
        <f t="shared" si="76"/>
        <v>-1673837.076954203</v>
      </c>
      <c r="T60" s="11">
        <f t="shared" si="76"/>
        <v>123225.25791155471</v>
      </c>
      <c r="U60" s="11">
        <f t="shared" si="76"/>
        <v>-263341.52024425461</v>
      </c>
      <c r="V60" s="11">
        <f t="shared" si="76"/>
        <v>673.65669320011511</v>
      </c>
      <c r="W60" s="11">
        <f t="shared" si="76"/>
        <v>-2962488.8299999982</v>
      </c>
      <c r="Y60" s="23">
        <f>SUM(Y7:Y59)</f>
        <v>116766.0199999988</v>
      </c>
    </row>
    <row r="62" spans="1:26" x14ac:dyDescent="0.3">
      <c r="P62" t="s">
        <v>88</v>
      </c>
      <c r="Q62" s="30"/>
      <c r="R62" s="23">
        <f>K60-R60</f>
        <v>129816.22740629758</v>
      </c>
      <c r="S62" s="23">
        <f t="shared" ref="S62:W62" si="77">L60-S60</f>
        <v>-13050.923045797041</v>
      </c>
      <c r="T62" s="23">
        <f>M60-T60</f>
        <v>-50.597911554796156</v>
      </c>
      <c r="U62" s="23">
        <f t="shared" si="77"/>
        <v>51.080244254553691</v>
      </c>
      <c r="V62" s="23">
        <f t="shared" si="77"/>
        <v>0.23330679994251113</v>
      </c>
      <c r="W62" s="23">
        <f t="shared" si="77"/>
        <v>116766.01999999722</v>
      </c>
      <c r="X62" t="s">
        <v>88</v>
      </c>
    </row>
    <row r="63" spans="1:26" ht="6" customHeight="1" x14ac:dyDescent="0.3"/>
    <row r="64" spans="1:26" x14ac:dyDescent="0.3">
      <c r="J64" s="28" t="s">
        <v>77</v>
      </c>
      <c r="K64" s="23">
        <f t="shared" ref="K64:O65" si="78">SUMIF($Q$7:$Q$59,$Q64,K$7:K$59)</f>
        <v>-2425711.5300000007</v>
      </c>
      <c r="L64" s="23">
        <f t="shared" si="78"/>
        <v>-2374567.83</v>
      </c>
      <c r="M64" s="23">
        <f t="shared" si="78"/>
        <v>-541148.57999999996</v>
      </c>
      <c r="N64" s="23">
        <f t="shared" si="78"/>
        <v>-559809.18000000017</v>
      </c>
      <c r="O64" s="23">
        <f t="shared" si="78"/>
        <v>-434928.9</v>
      </c>
      <c r="P64" s="23">
        <f>SUM(K64:O64)</f>
        <v>-6336166.0200000014</v>
      </c>
      <c r="Q64" s="30" t="s">
        <v>85</v>
      </c>
      <c r="R64" s="23">
        <f t="shared" ref="R64:V65" si="79">SUMIF($Q$7:$Q$59,$Q64,R$7:R$59)</f>
        <v>-2542325.3600000008</v>
      </c>
      <c r="S64" s="23">
        <f t="shared" si="79"/>
        <v>-2374719.2899999996</v>
      </c>
      <c r="T64" s="23">
        <f t="shared" si="79"/>
        <v>-541148.81000000006</v>
      </c>
      <c r="U64" s="23">
        <f t="shared" si="79"/>
        <v>-559809.26</v>
      </c>
      <c r="V64" s="23">
        <f t="shared" si="79"/>
        <v>-434929.16</v>
      </c>
      <c r="W64" s="23">
        <f>SUM(R64:V64)</f>
        <v>-6452931.8800000008</v>
      </c>
      <c r="X64" s="29" t="s">
        <v>77</v>
      </c>
    </row>
    <row r="65" spans="10:24" x14ac:dyDescent="0.3">
      <c r="J65" s="28" t="s">
        <v>78</v>
      </c>
      <c r="K65" s="23">
        <f t="shared" si="78"/>
        <v>1406318.61</v>
      </c>
      <c r="L65" s="23">
        <f t="shared" si="78"/>
        <v>687679.83000000019</v>
      </c>
      <c r="M65" s="23">
        <f t="shared" si="78"/>
        <v>664323.23999999987</v>
      </c>
      <c r="N65" s="23">
        <f t="shared" si="78"/>
        <v>296518.74</v>
      </c>
      <c r="O65" s="23">
        <f t="shared" si="78"/>
        <v>435602.79000000004</v>
      </c>
      <c r="P65" s="23">
        <f>SUM(K65:O65)</f>
        <v>3490443.21</v>
      </c>
      <c r="Q65" s="30" t="s">
        <v>84</v>
      </c>
      <c r="R65" s="23">
        <f t="shared" si="79"/>
        <v>1393116.2125937026</v>
      </c>
      <c r="S65" s="23">
        <f t="shared" si="79"/>
        <v>700882.21304579696</v>
      </c>
      <c r="T65" s="23">
        <f t="shared" si="79"/>
        <v>664374.06791155448</v>
      </c>
      <c r="U65" s="23">
        <f t="shared" si="79"/>
        <v>296467.73975574534</v>
      </c>
      <c r="V65" s="23">
        <f t="shared" si="79"/>
        <v>435602.81669319991</v>
      </c>
      <c r="W65" s="23">
        <f>SUM(R65:V65)</f>
        <v>3490443.0499999993</v>
      </c>
      <c r="X65" s="29" t="s">
        <v>78</v>
      </c>
    </row>
    <row r="66" spans="10:24" ht="14.4" customHeight="1" x14ac:dyDescent="0.3">
      <c r="J66" s="28"/>
      <c r="P66" s="23">
        <f>P64+P65-P60</f>
        <v>0</v>
      </c>
      <c r="R66" s="23"/>
    </row>
    <row r="67" spans="10:24" x14ac:dyDescent="0.3">
      <c r="J67" s="28"/>
      <c r="K67" s="23">
        <v>-2542325</v>
      </c>
      <c r="L67" s="23">
        <v>-2374720</v>
      </c>
      <c r="M67" s="23">
        <f>-938764+58531</f>
        <v>-880233</v>
      </c>
      <c r="N67" s="23">
        <f>-273783+3539</f>
        <v>-270244</v>
      </c>
      <c r="O67" s="30" t="s">
        <v>80</v>
      </c>
      <c r="P67" s="28" t="s">
        <v>79</v>
      </c>
      <c r="R67" s="23">
        <f>R69-R62</f>
        <v>-101218.22740629758</v>
      </c>
      <c r="S67" s="23">
        <f>S69-S62</f>
        <v>28672.923045797041</v>
      </c>
      <c r="T67" s="23">
        <f>T69-T62</f>
        <v>99.597911554796156</v>
      </c>
      <c r="U67" s="23">
        <f>U69-U62</f>
        <v>-103.08024425455369</v>
      </c>
      <c r="V67" s="23">
        <f>V69-V62</f>
        <v>-0.23330679994251113</v>
      </c>
      <c r="W67" s="23">
        <f>SUM(R67:V67)</f>
        <v>-72549.020000000237</v>
      </c>
      <c r="X67" t="s">
        <v>86</v>
      </c>
    </row>
    <row r="68" spans="10:24" ht="6" customHeight="1" x14ac:dyDescent="0.3"/>
    <row r="69" spans="10:24" x14ac:dyDescent="0.3">
      <c r="K69" s="23">
        <f>K67-K64</f>
        <v>-116613.46999999927</v>
      </c>
      <c r="L69" s="23">
        <f t="shared" ref="L69:N69" si="80">L67-L64</f>
        <v>-152.16999999992549</v>
      </c>
      <c r="M69" s="23">
        <f>M67-M64</f>
        <v>-339084.42000000004</v>
      </c>
      <c r="N69" s="23">
        <f t="shared" si="80"/>
        <v>289565.18000000017</v>
      </c>
      <c r="R69" s="23">
        <f>'Sch M Summary '!D99</f>
        <v>28598</v>
      </c>
      <c r="S69" s="23">
        <f>'Sch M Summary '!E99</f>
        <v>15622</v>
      </c>
      <c r="T69" s="23">
        <f>'Sch M Summary '!F99</f>
        <v>49</v>
      </c>
      <c r="U69" s="23">
        <f>'Sch M Summary '!G99</f>
        <v>-52</v>
      </c>
      <c r="V69" s="23">
        <f>'Sch M Summary '!H99</f>
        <v>0</v>
      </c>
      <c r="W69" s="23">
        <f>SUM(R69:V69)</f>
        <v>44217</v>
      </c>
      <c r="X69" t="s">
        <v>87</v>
      </c>
    </row>
    <row r="70" spans="10:24" x14ac:dyDescent="0.3">
      <c r="K70" t="s">
        <v>109</v>
      </c>
      <c r="M70" t="s">
        <v>106</v>
      </c>
      <c r="N70" t="s">
        <v>107</v>
      </c>
    </row>
    <row r="71" spans="10:24" x14ac:dyDescent="0.3">
      <c r="W71" s="23"/>
    </row>
  </sheetData>
  <printOptions horizontalCentered="1"/>
  <pageMargins left="0.45" right="0.45" top="0.53" bottom="0.51" header="0.3" footer="0.36"/>
  <pageSetup scale="70" orientation="portrait" r:id="rId1"/>
  <headerFooter>
    <oddFooter>&amp;C&amp;F / &amp;A</oddFooter>
  </headerFooter>
  <colBreaks count="1" manualBreakCount="1">
    <brk id="16" max="69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FAAC9E0-CBA6-4B76-934E-64D26CA80AAB}"/>
</file>

<file path=customXml/itemProps2.xml><?xml version="1.0" encoding="utf-8"?>
<ds:datastoreItem xmlns:ds="http://schemas.openxmlformats.org/officeDocument/2006/customXml" ds:itemID="{05BA69AC-C341-4019-8E13-280DA712EA7B}"/>
</file>

<file path=customXml/itemProps3.xml><?xml version="1.0" encoding="utf-8"?>
<ds:datastoreItem xmlns:ds="http://schemas.openxmlformats.org/officeDocument/2006/customXml" ds:itemID="{986861EF-607A-4F1E-8A87-94FF21A47DB2}"/>
</file>

<file path=customXml/itemProps4.xml><?xml version="1.0" encoding="utf-8"?>
<ds:datastoreItem xmlns:ds="http://schemas.openxmlformats.org/officeDocument/2006/customXml" ds:itemID="{0F6511F6-1FDD-41D0-8E70-F35E03723B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Sch M Summary </vt:lpstr>
      <vt:lpstr>Reconcile Temp</vt:lpstr>
      <vt:lpstr>'Reconcile Temp'!Print_Area</vt:lpstr>
      <vt:lpstr>'Sch M Summary '!Print_Area</vt:lpstr>
      <vt:lpstr>'Reconcile Temp'!Print_Titles</vt:lpstr>
      <vt:lpstr>'Sch M Summary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gzhkw6</cp:lastModifiedBy>
  <cp:lastPrinted>2019-01-31T00:07:10Z</cp:lastPrinted>
  <dcterms:created xsi:type="dcterms:W3CDTF">2016-01-14T20:26:32Z</dcterms:created>
  <dcterms:modified xsi:type="dcterms:W3CDTF">2019-01-31T00:07:14Z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