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4 Debt Interest\"/>
    </mc:Choice>
  </mc:AlternateContent>
  <xr:revisionPtr revIDLastSave="0" documentId="13_ncr:1_{D540E0A1-E0E1-45D8-8A7D-B3C9C83725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-FIT" sheetId="1" r:id="rId1"/>
  </sheets>
  <externalReferences>
    <externalReference r:id="rId2"/>
    <externalReference r:id="rId3"/>
  </externalReferences>
  <definedNames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[1]!_xlnm.Database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">'G-FIT'!$B$3:$B$30</definedName>
    <definedName name="G_FIT_Area">'G-FIT'!$G$7:$J$35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months">[2]DATA!$H$2</definedName>
    <definedName name="_xlnm.Print_Area" localSheetId="0">'G-FIT'!$B$1:$J$35</definedName>
    <definedName name="rbcalc">[2]DATA!$H$3</definedName>
    <definedName name="rbcalc_heading">[2]DATA!$H$5</definedName>
    <definedName name="tp_heading">[2]DATA!$H$4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D35" i="1"/>
  <c r="G31" i="1"/>
  <c r="I29" i="1"/>
  <c r="H29" i="1"/>
  <c r="G29" i="1" s="1"/>
  <c r="G26" i="1"/>
  <c r="I20" i="1"/>
  <c r="H20" i="1"/>
  <c r="G20" i="1"/>
  <c r="I19" i="1"/>
  <c r="G19" i="1" s="1"/>
  <c r="D18" i="1"/>
  <c r="I15" i="1"/>
  <c r="H15" i="1"/>
  <c r="G15" i="1" s="1"/>
  <c r="I13" i="1"/>
  <c r="H13" i="1"/>
  <c r="G13" i="1" s="1"/>
  <c r="I11" i="1"/>
  <c r="H11" i="1"/>
  <c r="I9" i="1"/>
  <c r="H9" i="1"/>
  <c r="G9" i="1"/>
  <c r="B5" i="1"/>
  <c r="G4" i="1"/>
  <c r="B4" i="1"/>
  <c r="F3" i="1"/>
  <c r="H18" i="1" s="1"/>
  <c r="H16" i="1" l="1"/>
  <c r="H21" i="1" s="1"/>
  <c r="H25" i="1" s="1"/>
  <c r="I16" i="1"/>
  <c r="G11" i="1"/>
  <c r="G16" i="1" s="1"/>
  <c r="I18" i="1"/>
  <c r="G18" i="1" s="1"/>
  <c r="I21" i="1" l="1"/>
  <c r="I25" i="1" s="1"/>
  <c r="I27" i="1" s="1"/>
  <c r="I32" i="1" s="1"/>
  <c r="I37" i="1" s="1"/>
  <c r="G25" i="1"/>
  <c r="G27" i="1" s="1"/>
  <c r="G32" i="1" s="1"/>
  <c r="G37" i="1" s="1"/>
  <c r="H27" i="1"/>
  <c r="H32" i="1" s="1"/>
  <c r="H37" i="1" s="1"/>
  <c r="G21" i="1"/>
</calcChain>
</file>

<file path=xl/sharedStrings.xml><?xml version="1.0" encoding="utf-8"?>
<sst xmlns="http://schemas.openxmlformats.org/spreadsheetml/2006/main" count="37" uniqueCount="33">
  <si>
    <t>RESULTS OF OPERATIONS</t>
  </si>
  <si>
    <t>Report ID:</t>
  </si>
  <si>
    <t>AVISTA UTILITIES</t>
  </si>
  <si>
    <t>FEDERAL INCOME TAXES--GAS</t>
  </si>
  <si>
    <t>Ref/Basis</t>
  </si>
  <si>
    <t>Description</t>
  </si>
  <si>
    <t>System</t>
  </si>
  <si>
    <t>Washington</t>
  </si>
  <si>
    <t>Idaho</t>
  </si>
  <si>
    <t>Total</t>
  </si>
  <si>
    <t>Calculation of Taxable Operating Income:</t>
  </si>
  <si>
    <t>G-OPS</t>
  </si>
  <si>
    <t>Operating Revenue</t>
  </si>
  <si>
    <t>Operating &amp; Maintenance Expense</t>
  </si>
  <si>
    <t>Book Deprec/Amort and Reg Amortizations</t>
  </si>
  <si>
    <t>G-OTX</t>
  </si>
  <si>
    <t>Taxes Other than FIT</t>
  </si>
  <si>
    <t xml:space="preserve">  Net Operating Income Before FIT</t>
  </si>
  <si>
    <t>G-INT</t>
  </si>
  <si>
    <t>Less: Idaho ITC Deferral &amp; Amortization</t>
  </si>
  <si>
    <t>G-SCM</t>
  </si>
  <si>
    <t>Schedule M Adjustments</t>
  </si>
  <si>
    <t xml:space="preserve">  Taxable Net Operating Income</t>
  </si>
  <si>
    <t xml:space="preserve">  Tax Rate</t>
  </si>
  <si>
    <t>Federal Income Tax</t>
  </si>
  <si>
    <t>Federal Income Tax on 2017 Income at 35%</t>
  </si>
  <si>
    <t>G-DTE</t>
  </si>
  <si>
    <t>Deferred FIT</t>
  </si>
  <si>
    <t>Amortized Investment Tax Credit</t>
  </si>
  <si>
    <t>Total FIT/Deferred FIT &amp; ITC</t>
  </si>
  <si>
    <t>ALLOCATION RATIOS:</t>
  </si>
  <si>
    <t>G-ALL</t>
  </si>
  <si>
    <t>EFFECTIVE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</si>
</sst>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.00"/>
    <numFmt numFmtId="165" formatCode="000"/>
    <numFmt numFmtId="166" formatCode="0000"/>
    <numFmt numFmtId="167" formatCode="0.000%"/>
    <numFmt numFmtId="168" formatCode="#,##0.0000"/>
  </numFmts>
  <fonts count="8">
    <font>
      <sz val="10"/>
      <name val="Tms Rmn"/>
    </font>
    <font>
      <sz val="11"/>
      <color theme="1"/>
      <name val="Calibri"/>
      <family val="2"/>
      <scheme val="minor"/>
    </font>
    <font>
      <sz val="11"/>
      <name val="Tms Rmn"/>
    </font>
    <font>
      <sz val="12"/>
      <name val="Tms Rmn"/>
    </font>
    <font>
      <b/>
      <sz val="12"/>
      <name val="Tms Rmn"/>
    </font>
    <font>
      <b/>
      <sz val="11"/>
      <name val="Tms Rmn"/>
    </font>
    <font>
      <sz val="10"/>
      <name val="Genev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0" fillId="0" borderId="0" xfId="0" applyNumberFormat="1" applyFont="1"/>
    <xf numFmtId="0" fontId="0" fillId="0" borderId="0" xfId="0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" fontId="4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164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164" fontId="3" fillId="0" borderId="1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7" fontId="3" fillId="0" borderId="0" xfId="0" applyNumberFormat="1" applyFont="1"/>
    <xf numFmtId="37" fontId="3" fillId="0" borderId="5" xfId="0" applyNumberFormat="1" applyFont="1" applyBorder="1"/>
    <xf numFmtId="165" fontId="3" fillId="0" borderId="0" xfId="0" applyNumberFormat="1" applyFont="1" applyAlignment="1">
      <alignment horizontal="center"/>
    </xf>
    <xf numFmtId="0" fontId="0" fillId="2" borderId="0" xfId="0" applyFont="1" applyFill="1"/>
    <xf numFmtId="3" fontId="3" fillId="0" borderId="0" xfId="0" applyNumberFormat="1" applyFont="1" applyBorder="1"/>
    <xf numFmtId="166" fontId="3" fillId="0" borderId="0" xfId="0" applyNumberFormat="1" applyFont="1" applyAlignment="1">
      <alignment horizontal="center"/>
    </xf>
    <xf numFmtId="10" fontId="3" fillId="3" borderId="0" xfId="0" applyNumberFormat="1" applyFont="1" applyFill="1"/>
    <xf numFmtId="167" fontId="2" fillId="0" borderId="0" xfId="0" applyNumberFormat="1" applyFont="1" applyBorder="1"/>
    <xf numFmtId="3" fontId="2" fillId="0" borderId="0" xfId="0" applyNumberFormat="1" applyFont="1"/>
    <xf numFmtId="167" fontId="3" fillId="0" borderId="0" xfId="0" applyNumberFormat="1" applyFont="1"/>
    <xf numFmtId="37" fontId="3" fillId="2" borderId="0" xfId="0" applyNumberFormat="1" applyFont="1" applyFill="1"/>
    <xf numFmtId="37" fontId="3" fillId="4" borderId="0" xfId="0" applyNumberFormat="1" applyFont="1" applyFill="1"/>
    <xf numFmtId="37" fontId="3" fillId="0" borderId="2" xfId="0" applyNumberFormat="1" applyFont="1" applyBorder="1"/>
    <xf numFmtId="1" fontId="3" fillId="0" borderId="0" xfId="0" applyNumberFormat="1" applyFont="1" applyAlignment="1">
      <alignment horizontal="center"/>
    </xf>
    <xf numFmtId="167" fontId="3" fillId="2" borderId="0" xfId="0" applyNumberFormat="1" applyFont="1" applyFill="1"/>
    <xf numFmtId="167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0" xfId="0" applyFont="1"/>
    <xf numFmtId="168" fontId="5" fillId="0" borderId="0" xfId="0" applyNumberFormat="1" applyFont="1"/>
    <xf numFmtId="37" fontId="4" fillId="5" borderId="0" xfId="0" applyNumberFormat="1" applyFont="1" applyFill="1"/>
  </cellXfs>
  <cellStyles count="6">
    <cellStyle name="Comma 2" xfId="1" xr:uid="{00000000-0005-0000-0000-000000000000}"/>
    <cellStyle name="Comma 3" xfId="4" xr:uid="{00000000-0005-0000-0000-000001000000}"/>
    <cellStyle name="Normal" xfId="0" builtinId="0"/>
    <cellStyle name="Normal 2" xfId="3" xr:uid="{00000000-0005-0000-0000-000003000000}"/>
    <cellStyle name="Percent 2" xfId="2" xr:uid="{00000000-0005-0000-0000-000005000000}"/>
    <cellStyle name="Percent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9-12%20CBR/1.00%20Results%20of%20Operations/12A-2019.12_Avista%20Gas%20North%20Pu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G-CHK"/>
      <sheetName val="G-CHK-UI"/>
      <sheetName val="G-ROR"/>
      <sheetName val="G-ALL"/>
      <sheetName val="G-OPS"/>
      <sheetName val="G-495"/>
      <sheetName val="G-804"/>
      <sheetName val="G-908"/>
      <sheetName val="G-INT"/>
      <sheetName val="G-FIT"/>
      <sheetName val="G-SCM"/>
      <sheetName val="G-DTE"/>
      <sheetName val="G-OTX"/>
      <sheetName val="G-PLT"/>
      <sheetName val="G-APL"/>
      <sheetName val="G-DEPX"/>
      <sheetName val="G-AMTX"/>
      <sheetName val="G-ADEP"/>
      <sheetName val="G-AAMT"/>
      <sheetName val="C-GPL"/>
      <sheetName val="C-IPL"/>
      <sheetName val="C-DTX"/>
      <sheetName val="C-WKC"/>
    </sheetNames>
    <sheetDataSet>
      <sheetData sheetId="0" refreshError="1"/>
      <sheetData sheetId="1">
        <row r="2">
          <cell r="H2">
            <v>12</v>
          </cell>
          <cell r="S2" t="str">
            <v>Results of Operations - 12A</v>
          </cell>
        </row>
        <row r="3">
          <cell r="H3" t="str">
            <v>A</v>
          </cell>
        </row>
        <row r="4">
          <cell r="H4" t="str">
            <v>For Twelve Months Ended December 31, 2019</v>
          </cell>
        </row>
        <row r="5">
          <cell r="H5" t="str">
            <v>Average of Monthly Averages Basis</v>
          </cell>
        </row>
      </sheetData>
      <sheetData sheetId="2" refreshError="1"/>
      <sheetData sheetId="3" refreshError="1"/>
      <sheetData sheetId="4" refreshError="1"/>
      <sheetData sheetId="5">
        <row r="134">
          <cell r="E134" t="str">
            <v>Not Allocated</v>
          </cell>
          <cell r="G134">
            <v>0</v>
          </cell>
          <cell r="H134">
            <v>0</v>
          </cell>
          <cell r="I134">
            <v>0</v>
          </cell>
        </row>
      </sheetData>
      <sheetData sheetId="6">
        <row r="28">
          <cell r="M28">
            <v>207825445</v>
          </cell>
          <cell r="P28">
            <v>91809029</v>
          </cell>
        </row>
        <row r="36">
          <cell r="M36">
            <v>99572054</v>
          </cell>
          <cell r="P36">
            <v>46179952</v>
          </cell>
        </row>
        <row r="42">
          <cell r="M42">
            <v>1883262</v>
          </cell>
          <cell r="P42">
            <v>858821</v>
          </cell>
        </row>
        <row r="44">
          <cell r="M44">
            <v>494267</v>
          </cell>
          <cell r="P44">
            <v>225400</v>
          </cell>
        </row>
        <row r="45">
          <cell r="M45">
            <v>0</v>
          </cell>
          <cell r="P45">
            <v>0</v>
          </cell>
        </row>
        <row r="73">
          <cell r="M73">
            <v>13669309</v>
          </cell>
          <cell r="P73">
            <v>5461149</v>
          </cell>
        </row>
        <row r="75">
          <cell r="M75">
            <v>12468481</v>
          </cell>
          <cell r="P75">
            <v>5889021</v>
          </cell>
        </row>
        <row r="87">
          <cell r="M87">
            <v>6398047</v>
          </cell>
          <cell r="P87">
            <v>2572375</v>
          </cell>
        </row>
        <row r="93">
          <cell r="M93">
            <v>9663655</v>
          </cell>
          <cell r="P93">
            <v>1911250</v>
          </cell>
        </row>
        <row r="99">
          <cell r="M99">
            <v>0</v>
          </cell>
          <cell r="P99">
            <v>0</v>
          </cell>
        </row>
        <row r="113">
          <cell r="M113">
            <v>15696100</v>
          </cell>
          <cell r="P113">
            <v>5861241</v>
          </cell>
        </row>
        <row r="115">
          <cell r="M115">
            <v>5200792</v>
          </cell>
          <cell r="P115">
            <v>1529807</v>
          </cell>
        </row>
        <row r="116">
          <cell r="M116">
            <v>124301</v>
          </cell>
          <cell r="P116">
            <v>52258</v>
          </cell>
        </row>
        <row r="117">
          <cell r="M117">
            <v>5352917</v>
          </cell>
          <cell r="P117">
            <v>1713296</v>
          </cell>
        </row>
        <row r="118">
          <cell r="M118">
            <v>-6</v>
          </cell>
          <cell r="P118">
            <v>-2</v>
          </cell>
        </row>
        <row r="119">
          <cell r="M119">
            <v>0</v>
          </cell>
          <cell r="P119">
            <v>0</v>
          </cell>
        </row>
        <row r="121">
          <cell r="M121">
            <v>-1205040</v>
          </cell>
          <cell r="P121">
            <v>0</v>
          </cell>
        </row>
        <row r="122">
          <cell r="M122">
            <v>584253</v>
          </cell>
          <cell r="P122">
            <v>0</v>
          </cell>
        </row>
        <row r="123">
          <cell r="M123">
            <v>0</v>
          </cell>
          <cell r="P123">
            <v>81297</v>
          </cell>
        </row>
        <row r="124">
          <cell r="M124">
            <v>79179</v>
          </cell>
          <cell r="P124">
            <v>34504</v>
          </cell>
        </row>
        <row r="125">
          <cell r="M125">
            <v>229489</v>
          </cell>
          <cell r="P125">
            <v>110152</v>
          </cell>
        </row>
        <row r="126">
          <cell r="M126">
            <v>10957</v>
          </cell>
        </row>
        <row r="127">
          <cell r="M127">
            <v>0</v>
          </cell>
          <cell r="P127">
            <v>0</v>
          </cell>
        </row>
        <row r="128">
          <cell r="M128">
            <v>0</v>
          </cell>
          <cell r="P128">
            <v>168136</v>
          </cell>
        </row>
        <row r="129">
          <cell r="M129">
            <v>-462395</v>
          </cell>
          <cell r="P129">
            <v>-222432</v>
          </cell>
        </row>
        <row r="131">
          <cell r="M131">
            <v>-2239164</v>
          </cell>
          <cell r="P131">
            <v>0</v>
          </cell>
        </row>
        <row r="132">
          <cell r="M132">
            <v>0</v>
          </cell>
          <cell r="P132">
            <v>0</v>
          </cell>
        </row>
      </sheetData>
      <sheetData sheetId="7" refreshError="1"/>
      <sheetData sheetId="8" refreshError="1"/>
      <sheetData sheetId="9" refreshError="1"/>
      <sheetData sheetId="10">
        <row r="18">
          <cell r="G18">
            <v>11122570</v>
          </cell>
          <cell r="H18">
            <v>4648990</v>
          </cell>
        </row>
      </sheetData>
      <sheetData sheetId="11"/>
      <sheetData sheetId="12">
        <row r="45">
          <cell r="M45">
            <v>-37594758</v>
          </cell>
          <cell r="P45">
            <v>-13548058</v>
          </cell>
        </row>
      </sheetData>
      <sheetData sheetId="13">
        <row r="18">
          <cell r="I18">
            <v>6500601</v>
          </cell>
          <cell r="J18">
            <v>2434408</v>
          </cell>
        </row>
      </sheetData>
      <sheetData sheetId="14">
        <row r="19">
          <cell r="P19">
            <v>204829</v>
          </cell>
        </row>
        <row r="20">
          <cell r="P20">
            <v>-16373</v>
          </cell>
        </row>
        <row r="23">
          <cell r="M23">
            <v>14062422</v>
          </cell>
          <cell r="P23">
            <v>3034377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V37"/>
  <sheetViews>
    <sheetView tabSelected="1" view="pageBreakPreview" zoomScale="115" zoomScaleNormal="100" zoomScaleSheetLayoutView="115" workbookViewId="0">
      <pane xSplit="6" ySplit="7" topLeftCell="G8" activePane="bottomRight" state="frozen"/>
      <selection activeCell="L15" sqref="L15"/>
      <selection pane="topRight" activeCell="L15" sqref="L15"/>
      <selection pane="bottomLeft" activeCell="L15" sqref="L15"/>
      <selection pane="bottomRight" activeCell="L15" sqref="L15"/>
    </sheetView>
  </sheetViews>
  <sheetFormatPr defaultColWidth="9.33203125" defaultRowHeight="12.75"/>
  <cols>
    <col min="1" max="1" width="9.33203125" style="1"/>
    <col min="2" max="3" width="9.83203125" style="7" customWidth="1"/>
    <col min="4" max="4" width="16.83203125" style="7" customWidth="1"/>
    <col min="5" max="5" width="18.6640625" style="7" customWidth="1"/>
    <col min="6" max="6" width="12.83203125" style="7" customWidth="1"/>
    <col min="7" max="9" width="19.33203125" style="7" customWidth="1"/>
    <col min="10" max="16384" width="9.33203125" style="7"/>
  </cols>
  <sheetData>
    <row r="1" spans="1:48" ht="12.75" customHeight="1">
      <c r="B1" s="2"/>
      <c r="C1" s="3"/>
      <c r="D1" s="4"/>
      <c r="E1" s="5"/>
      <c r="F1" s="5"/>
      <c r="G1" s="4"/>
      <c r="H1" s="4"/>
      <c r="I1" s="4"/>
      <c r="J1" s="6"/>
      <c r="K1" s="6"/>
      <c r="L1" s="6"/>
      <c r="M1" s="6"/>
      <c r="N1" s="6"/>
      <c r="O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2.75" customHeight="1">
      <c r="B2" s="8" t="s">
        <v>0</v>
      </c>
      <c r="C2" s="9"/>
      <c r="D2" s="10"/>
      <c r="E2" s="9"/>
      <c r="F2" s="11" t="s">
        <v>1</v>
      </c>
      <c r="G2" s="4"/>
      <c r="H2" s="4" t="s">
        <v>2</v>
      </c>
      <c r="I2" s="4"/>
      <c r="J2" s="6"/>
      <c r="K2" s="6"/>
      <c r="L2" s="6"/>
      <c r="M2" s="6"/>
      <c r="N2" s="6"/>
      <c r="O2" s="6"/>
      <c r="P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2.75" customHeight="1">
      <c r="B3" s="12" t="s">
        <v>3</v>
      </c>
      <c r="C3" s="13"/>
      <c r="D3" s="14"/>
      <c r="E3" s="15"/>
      <c r="F3" s="16" t="str">
        <f>"G-FIT-"&amp;months&amp;rbcalc</f>
        <v>G-FIT-12A</v>
      </c>
      <c r="G3" s="4"/>
      <c r="H3" s="4"/>
      <c r="I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8" ht="12.75" customHeight="1">
      <c r="B4" s="17" t="str">
        <f>tp_heading</f>
        <v>For Twelve Months Ended December 31, 2019</v>
      </c>
      <c r="C4" s="5"/>
      <c r="D4" s="5"/>
      <c r="E4" s="18"/>
      <c r="F4" s="19"/>
      <c r="G4" s="4" t="str">
        <f>IF(LEFT(UPPER([2]DATA!S2),4)="RATE",[2]DATA!S2,"")</f>
        <v/>
      </c>
      <c r="H4" s="4"/>
      <c r="I4" s="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8" ht="12.75" customHeight="1">
      <c r="B5" s="20" t="str">
        <f>rbcalc_heading</f>
        <v>Average of Monthly Averages Basis</v>
      </c>
      <c r="C5" s="21"/>
      <c r="D5" s="22"/>
      <c r="E5" s="23"/>
      <c r="F5" s="24"/>
      <c r="G5" s="4"/>
      <c r="H5" s="4"/>
      <c r="I5" s="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8" ht="12.75" customHeight="1">
      <c r="B6" s="25" t="s">
        <v>4</v>
      </c>
      <c r="C6" s="26"/>
      <c r="D6" s="25" t="s">
        <v>5</v>
      </c>
      <c r="E6" s="22"/>
      <c r="F6" s="22"/>
      <c r="G6" s="27" t="s">
        <v>6</v>
      </c>
      <c r="H6" s="27" t="s">
        <v>7</v>
      </c>
      <c r="I6" s="27" t="s">
        <v>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12.75" customHeight="1">
      <c r="A7" s="7" t="s">
        <v>9</v>
      </c>
      <c r="B7" s="2"/>
      <c r="C7" s="3"/>
      <c r="D7" s="5"/>
      <c r="E7" s="5"/>
      <c r="F7" s="5"/>
      <c r="G7" s="4"/>
      <c r="H7" s="4"/>
      <c r="I7" s="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8" ht="12.75" customHeight="1">
      <c r="B8" s="5"/>
      <c r="C8" s="3"/>
      <c r="D8" s="4" t="s">
        <v>10</v>
      </c>
      <c r="E8" s="5"/>
      <c r="F8" s="5"/>
      <c r="G8" s="4"/>
      <c r="H8" s="4"/>
      <c r="I8" s="4"/>
      <c r="K8" s="6"/>
      <c r="L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8" ht="12.75" customHeight="1">
      <c r="B9" s="2" t="s">
        <v>11</v>
      </c>
      <c r="C9" s="3"/>
      <c r="D9" s="4" t="s">
        <v>12</v>
      </c>
      <c r="E9" s="5"/>
      <c r="F9" s="5"/>
      <c r="G9" s="28">
        <f>+H9+I9</f>
        <v>299634474</v>
      </c>
      <c r="H9" s="28">
        <f>'[2]G-OPS'!M28</f>
        <v>207825445</v>
      </c>
      <c r="I9" s="28">
        <f>'[2]G-OPS'!P28</f>
        <v>91809029</v>
      </c>
      <c r="K9" s="6"/>
      <c r="L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8" ht="12.75" customHeight="1">
      <c r="B10" s="2"/>
      <c r="C10" s="3"/>
      <c r="D10" s="4"/>
      <c r="E10" s="5"/>
      <c r="F10" s="5"/>
      <c r="G10" s="28"/>
      <c r="H10" s="28"/>
      <c r="I10" s="28"/>
      <c r="K10" s="6"/>
      <c r="L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8" ht="12.75" customHeight="1">
      <c r="B11" s="2" t="s">
        <v>11</v>
      </c>
      <c r="C11" s="3"/>
      <c r="D11" s="4" t="s">
        <v>13</v>
      </c>
      <c r="E11" s="5"/>
      <c r="F11" s="5"/>
      <c r="G11" s="28">
        <f>+H11+I11</f>
        <v>209727215</v>
      </c>
      <c r="H11" s="28">
        <f>+'[2]G-OPS'!M36+'[2]G-OPS'!M42+'[2]G-OPS'!M73+'[2]G-OPS'!M87+'[2]G-OPS'!M93+'[2]G-OPS'!M99+'[2]G-OPS'!M113</f>
        <v>146882427</v>
      </c>
      <c r="I11" s="28">
        <f>+'[2]G-OPS'!P36+'[2]G-OPS'!P42+'[2]G-OPS'!P73+'[2]G-OPS'!P87+'[2]G-OPS'!P93+'[2]G-OPS'!P99+'[2]G-OPS'!P113</f>
        <v>62844788</v>
      </c>
      <c r="K11" s="6"/>
      <c r="L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8" ht="12.75" customHeight="1">
      <c r="B12" s="2"/>
      <c r="C12" s="3"/>
      <c r="D12" s="4"/>
      <c r="E12" s="5"/>
      <c r="F12" s="5"/>
      <c r="G12" s="28"/>
      <c r="H12" s="28"/>
      <c r="I12" s="28"/>
      <c r="K12" s="6"/>
      <c r="L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8" ht="12.75" customHeight="1">
      <c r="B13" s="2" t="s">
        <v>11</v>
      </c>
      <c r="C13" s="3"/>
      <c r="D13" s="4" t="s">
        <v>14</v>
      </c>
      <c r="E13" s="5"/>
      <c r="F13" s="5"/>
      <c r="G13" s="28">
        <f>+H13+I13</f>
        <v>30219468</v>
      </c>
      <c r="H13" s="28">
        <f>'[2]G-OPS'!M44+'[2]G-OPS'!M45+'[2]G-OPS'!M75+'[2]G-OPS'!M115+'[2]G-OPS'!M116+'[2]G-OPS'!M117+'[2]G-OPS'!M118+'[2]G-OPS'!M119+'[2]G-OPS'!M121+'[2]G-OPS'!M122+'[2]G-OPS'!M123+'[2]G-OPS'!M124+'[2]G-OPS'!M125+'[2]G-OPS'!M126+'[2]G-OPS'!M127+'[2]G-OPS'!M128+'[2]G-OPS'!M129+'[2]G-OPS'!M131+'[2]G-OPS'!M132</f>
        <v>20638031</v>
      </c>
      <c r="I13" s="28">
        <f>'[2]G-OPS'!P44+'[2]G-OPS'!P45+'[2]G-OPS'!P75+'[2]G-OPS'!P115+'[2]G-OPS'!P116+'[2]G-OPS'!P117+'[2]G-OPS'!P118+'[2]G-OPS'!P119+'[2]G-OPS'!P121+'[2]G-OPS'!P122+'[2]G-OPS'!P123+'[2]G-OPS'!P124+'[2]G-OPS'!P125+'[2]G-OPS'!P127+'[2]G-OPS'!P128+'[2]G-OPS'!P129+'[2]G-OPS'!P131+'[2]G-OPS'!P132</f>
        <v>9581437</v>
      </c>
      <c r="K13" s="6"/>
      <c r="L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8" ht="12.75" customHeight="1">
      <c r="B14" s="2"/>
      <c r="C14" s="3"/>
      <c r="D14" s="4"/>
      <c r="E14" s="5"/>
      <c r="F14" s="5"/>
      <c r="G14" s="28"/>
      <c r="H14" s="28"/>
      <c r="I14" s="28"/>
      <c r="K14" s="6"/>
      <c r="L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8" ht="12.75" customHeight="1">
      <c r="B15" s="2" t="s">
        <v>15</v>
      </c>
      <c r="C15" s="3"/>
      <c r="D15" s="4" t="s">
        <v>16</v>
      </c>
      <c r="E15" s="5"/>
      <c r="F15" s="5"/>
      <c r="G15" s="28">
        <f>+H15+I15</f>
        <v>17096799</v>
      </c>
      <c r="H15" s="28">
        <f>'[2]G-OTX'!M23</f>
        <v>14062422</v>
      </c>
      <c r="I15" s="28">
        <f>'[2]G-OTX'!P23</f>
        <v>3034377</v>
      </c>
      <c r="K15" s="6"/>
      <c r="L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8" ht="14.45" customHeight="1">
      <c r="B16" s="2"/>
      <c r="C16" s="3"/>
      <c r="D16" s="4" t="s">
        <v>17</v>
      </c>
      <c r="E16" s="5"/>
      <c r="F16" s="5"/>
      <c r="G16" s="29">
        <f>G9-G11-G13-G15</f>
        <v>42590992</v>
      </c>
      <c r="H16" s="29">
        <f>H9-H11-H13-H15</f>
        <v>26242565</v>
      </c>
      <c r="I16" s="29">
        <f>I9-I11-I13-I15</f>
        <v>16348427</v>
      </c>
      <c r="K16" s="6"/>
      <c r="L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2.75" customHeight="1">
      <c r="B17" s="2"/>
      <c r="C17" s="3"/>
      <c r="D17" s="4"/>
      <c r="E17" s="5"/>
      <c r="F17" s="5"/>
      <c r="G17" s="28"/>
      <c r="H17" s="28"/>
      <c r="I17" s="28"/>
      <c r="K17" s="6"/>
      <c r="L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2.75" customHeight="1">
      <c r="B18" s="2" t="s">
        <v>18</v>
      </c>
      <c r="C18" s="30"/>
      <c r="D18" s="4" t="str">
        <f>IF(F4="G-FIT-1A","Less: Monthly Interest Expense","Less: Interest Expense")</f>
        <v>Less: Interest Expense</v>
      </c>
      <c r="E18" s="5"/>
      <c r="F18" s="5"/>
      <c r="G18" s="28">
        <f>+H18+I18</f>
        <v>15771560</v>
      </c>
      <c r="H18" s="48">
        <f>IF($F3="G-FIT-1A",ROUND(+'[2]G-INT'!G18/12,0),+'[2]G-INT'!G18)</f>
        <v>11122570</v>
      </c>
      <c r="I18" s="28">
        <f>IF($F3="G-FIT-1A",ROUND(+'[2]G-INT'!H18/12,0),+'[2]G-INT'!H18)</f>
        <v>4648990</v>
      </c>
      <c r="J18" s="31"/>
      <c r="K18" s="6"/>
      <c r="L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2.75" customHeight="1">
      <c r="B19" s="2" t="s">
        <v>15</v>
      </c>
      <c r="C19" s="3"/>
      <c r="D19" s="4" t="s">
        <v>19</v>
      </c>
      <c r="E19" s="5"/>
      <c r="F19" s="5"/>
      <c r="G19" s="28">
        <f>+H19+I19</f>
        <v>188456</v>
      </c>
      <c r="H19" s="28">
        <v>0</v>
      </c>
      <c r="I19" s="28">
        <f>'[2]G-OTX'!P19+'[2]G-OTX'!P20</f>
        <v>188456</v>
      </c>
      <c r="J19" s="31"/>
      <c r="K19" s="6"/>
      <c r="L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2.75" customHeight="1">
      <c r="B20" s="2" t="s">
        <v>20</v>
      </c>
      <c r="C20" s="3"/>
      <c r="D20" s="4" t="s">
        <v>21</v>
      </c>
      <c r="E20" s="5"/>
      <c r="F20" s="5"/>
      <c r="G20" s="28">
        <f>+H20+I20</f>
        <v>-51142816</v>
      </c>
      <c r="H20" s="28">
        <f>'[2]G-SCM'!M45</f>
        <v>-37594758</v>
      </c>
      <c r="I20" s="28">
        <f>'[2]G-SCM'!P45</f>
        <v>-13548058</v>
      </c>
      <c r="J20" s="31"/>
      <c r="K20" s="6"/>
      <c r="L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2.75" customHeight="1">
      <c r="B21" s="2"/>
      <c r="C21" s="3"/>
      <c r="D21" s="4" t="s">
        <v>22</v>
      </c>
      <c r="E21" s="5"/>
      <c r="F21" s="5"/>
      <c r="G21" s="29">
        <f t="shared" ref="G21:H21" si="0">G16-G18+G20+G19</f>
        <v>-24134928</v>
      </c>
      <c r="H21" s="29">
        <f t="shared" si="0"/>
        <v>-22474763</v>
      </c>
      <c r="I21" s="29">
        <f>I16-I18+I20+I19</f>
        <v>-1660165</v>
      </c>
      <c r="J21" s="31"/>
      <c r="K21" s="6"/>
      <c r="L21" s="6"/>
      <c r="M21" s="6"/>
      <c r="N21" s="6"/>
      <c r="O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2.75" customHeight="1">
      <c r="B22" s="2"/>
      <c r="C22" s="3"/>
      <c r="D22" s="4"/>
      <c r="E22" s="5"/>
      <c r="F22" s="5"/>
      <c r="G22" s="32"/>
      <c r="H22" s="32"/>
      <c r="I22" s="32"/>
      <c r="J22" s="31"/>
      <c r="K22" s="6"/>
      <c r="L22" s="6"/>
      <c r="M22" s="6"/>
      <c r="N22" s="6"/>
      <c r="O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1" customFormat="1" ht="14.85" customHeight="1">
      <c r="A23" s="7">
        <v>22197</v>
      </c>
      <c r="B23" s="2"/>
      <c r="C23" s="33"/>
      <c r="D23" s="4" t="s">
        <v>23</v>
      </c>
      <c r="E23" s="5"/>
      <c r="F23" s="5"/>
      <c r="G23" s="34">
        <v>0.21</v>
      </c>
      <c r="H23" s="34">
        <v>0.21</v>
      </c>
      <c r="I23" s="34">
        <v>0.21</v>
      </c>
      <c r="J23" s="35"/>
      <c r="K23" s="36"/>
      <c r="L23" s="36"/>
      <c r="M23" s="36"/>
      <c r="N23" s="36"/>
      <c r="O23" s="36"/>
      <c r="S23" s="36"/>
    </row>
    <row r="24" spans="1:47" ht="12.75" customHeight="1">
      <c r="B24" s="2"/>
      <c r="C24" s="3"/>
      <c r="D24" s="4"/>
      <c r="E24" s="5"/>
      <c r="F24" s="5"/>
      <c r="G24" s="37"/>
      <c r="H24" s="37"/>
      <c r="I24" s="37"/>
      <c r="K24" s="6"/>
      <c r="L24" s="6"/>
      <c r="M24" s="6"/>
      <c r="N24" s="6"/>
      <c r="O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2.75" hidden="1" customHeight="1">
      <c r="B25" s="2"/>
      <c r="C25" s="33"/>
      <c r="D25" s="4" t="s">
        <v>24</v>
      </c>
      <c r="E25" s="5"/>
      <c r="F25" s="5"/>
      <c r="G25" s="29">
        <f>+H25+I25</f>
        <v>-5068335</v>
      </c>
      <c r="H25" s="29">
        <f>ROUND(H21*H23,0)</f>
        <v>-4719700</v>
      </c>
      <c r="I25" s="29">
        <f>ROUND(I21*I23,0)</f>
        <v>-348635</v>
      </c>
      <c r="K25" s="6"/>
      <c r="L25" s="6"/>
      <c r="M25" s="6"/>
      <c r="N25" s="6"/>
      <c r="O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2.75" hidden="1" customHeight="1">
      <c r="A26" s="1">
        <v>435895</v>
      </c>
      <c r="B26" s="2"/>
      <c r="C26" s="33"/>
      <c r="D26" s="4" t="s">
        <v>25</v>
      </c>
      <c r="E26" s="5"/>
      <c r="F26" s="5"/>
      <c r="G26" s="28">
        <f>+H26+I26</f>
        <v>0</v>
      </c>
      <c r="H26" s="28">
        <v>0</v>
      </c>
      <c r="I26" s="28">
        <v>0</v>
      </c>
      <c r="K26" s="6"/>
      <c r="L26" s="6"/>
      <c r="M26" s="6"/>
      <c r="N26" s="6"/>
      <c r="O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2.75" customHeight="1">
      <c r="B27" s="2"/>
      <c r="C27" s="33"/>
      <c r="D27" s="4" t="s">
        <v>24</v>
      </c>
      <c r="E27" s="5"/>
      <c r="F27" s="5"/>
      <c r="G27" s="29">
        <f>SUM(G25:G26)</f>
        <v>-5068335</v>
      </c>
      <c r="H27" s="29">
        <f t="shared" ref="H27:I27" si="1">SUM(H25:H26)</f>
        <v>-4719700</v>
      </c>
      <c r="I27" s="29">
        <f t="shared" si="1"/>
        <v>-348635</v>
      </c>
      <c r="K27" s="6"/>
      <c r="L27" s="6"/>
      <c r="M27" s="6"/>
      <c r="N27" s="6"/>
      <c r="O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2.75" customHeight="1">
      <c r="B28" s="2"/>
      <c r="C28" s="33"/>
      <c r="D28" s="4"/>
      <c r="E28" s="5"/>
      <c r="F28" s="5"/>
      <c r="G28" s="28"/>
      <c r="H28" s="28"/>
      <c r="I28" s="28"/>
      <c r="K28" s="6"/>
      <c r="L28" s="6"/>
      <c r="M28" s="6"/>
      <c r="N28" s="6"/>
      <c r="O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2.75" customHeight="1">
      <c r="B29" s="2" t="s">
        <v>26</v>
      </c>
      <c r="C29" s="3"/>
      <c r="D29" s="4" t="s">
        <v>27</v>
      </c>
      <c r="E29" s="5"/>
      <c r="F29" s="5"/>
      <c r="G29" s="28">
        <f>+H29+I29</f>
        <v>8935009</v>
      </c>
      <c r="H29" s="28">
        <f>'[2]G-DTE'!I18</f>
        <v>6500601</v>
      </c>
      <c r="I29" s="28">
        <f>'[2]G-DTE'!J18</f>
        <v>2434408</v>
      </c>
      <c r="K29" s="6"/>
      <c r="L29" s="6"/>
      <c r="M29" s="6"/>
      <c r="N29" s="6"/>
      <c r="O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2.75" customHeight="1">
      <c r="B30" s="2"/>
      <c r="C30" s="3"/>
      <c r="D30" s="4"/>
      <c r="E30" s="5"/>
      <c r="F30" s="5"/>
      <c r="G30" s="28"/>
      <c r="H30" s="28"/>
      <c r="I30" s="28"/>
      <c r="K30" s="6"/>
      <c r="L30" s="6"/>
      <c r="M30" s="6"/>
      <c r="N30" s="6"/>
      <c r="O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2.75" customHeight="1">
      <c r="A31" s="7">
        <v>58521</v>
      </c>
      <c r="B31" s="2">
        <v>99</v>
      </c>
      <c r="C31" s="33">
        <v>411400</v>
      </c>
      <c r="D31" s="4" t="s">
        <v>28</v>
      </c>
      <c r="E31" s="5"/>
      <c r="F31" s="5"/>
      <c r="G31" s="38">
        <f>+H31+I31</f>
        <v>-16200</v>
      </c>
      <c r="H31" s="39">
        <v>-12048</v>
      </c>
      <c r="I31" s="39">
        <v>-4152</v>
      </c>
      <c r="K31" s="6"/>
      <c r="L31" s="6"/>
      <c r="M31" s="6"/>
      <c r="N31" s="6"/>
      <c r="O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2.75" customHeight="1">
      <c r="B32" s="2"/>
      <c r="C32" s="3"/>
      <c r="D32" s="4" t="s">
        <v>29</v>
      </c>
      <c r="E32" s="5"/>
      <c r="F32" s="5"/>
      <c r="G32" s="40">
        <f>SUM(G27:G31)</f>
        <v>3850474</v>
      </c>
      <c r="H32" s="40">
        <f t="shared" ref="H32:I32" si="2">SUM(H27:H31)</f>
        <v>1768853</v>
      </c>
      <c r="I32" s="40">
        <f t="shared" si="2"/>
        <v>2081621</v>
      </c>
      <c r="K32" s="6"/>
      <c r="L32" s="6"/>
      <c r="M32" s="6"/>
      <c r="N32" s="6"/>
      <c r="O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2:47" ht="12.75" customHeight="1">
      <c r="B33" s="2"/>
      <c r="C33" s="3"/>
      <c r="D33" s="4"/>
      <c r="E33" s="5"/>
      <c r="F33" s="5"/>
      <c r="G33" s="4"/>
      <c r="H33" s="4"/>
      <c r="I33" s="4"/>
      <c r="J33" s="6"/>
      <c r="K33" s="6"/>
      <c r="L33" s="6"/>
      <c r="M33" s="6"/>
      <c r="N33" s="6"/>
      <c r="O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2:47" ht="12.75" customHeight="1">
      <c r="B34" s="4" t="s">
        <v>30</v>
      </c>
      <c r="C34" s="3"/>
      <c r="D34" s="4"/>
      <c r="E34" s="5"/>
      <c r="F34" s="5"/>
      <c r="G34" s="4"/>
      <c r="H34" s="4"/>
      <c r="I34" s="4"/>
      <c r="J34" s="6"/>
      <c r="K34" s="6"/>
      <c r="L34" s="6"/>
      <c r="M34" s="6"/>
      <c r="N34" s="6"/>
      <c r="O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2:47" ht="12.75" customHeight="1">
      <c r="B35" s="2" t="s">
        <v>31</v>
      </c>
      <c r="C35" s="41">
        <v>99</v>
      </c>
      <c r="D35" s="4" t="str">
        <f>'[2]G-ALL'!E134</f>
        <v>Not Allocated</v>
      </c>
      <c r="E35" s="5"/>
      <c r="F35" s="5"/>
      <c r="G35" s="42">
        <f>'[2]G-ALL'!G134</f>
        <v>0</v>
      </c>
      <c r="H35" s="42">
        <f>'[2]G-ALL'!H134</f>
        <v>0</v>
      </c>
      <c r="I35" s="42">
        <f>'[2]G-ALL'!I134</f>
        <v>0</v>
      </c>
      <c r="J35" s="6"/>
      <c r="K35" s="6"/>
      <c r="L35" s="6"/>
      <c r="M35" s="6"/>
      <c r="O35" s="43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2:47" ht="12.75" customHeight="1">
      <c r="B36" s="44"/>
      <c r="C36" s="45"/>
      <c r="D36" s="6"/>
      <c r="G36" s="43"/>
      <c r="H36" s="43"/>
      <c r="I36" s="43"/>
      <c r="J36" s="43"/>
      <c r="L36" s="43"/>
      <c r="M36" s="43"/>
      <c r="O36" s="43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2:47" ht="12.75" customHeight="1">
      <c r="D37" s="46" t="s">
        <v>32</v>
      </c>
      <c r="E37" s="46"/>
      <c r="F37" s="46"/>
      <c r="G37" s="47">
        <f>ROUND(+G32/(+G16-G18),4)</f>
        <v>0.14360000000000001</v>
      </c>
      <c r="H37" s="47">
        <f>ROUND(+H32/(+H16-H18),4)</f>
        <v>0.11700000000000001</v>
      </c>
      <c r="I37" s="47">
        <f>ROUND(+I32/(+I16-I18),4)</f>
        <v>0.1779</v>
      </c>
    </row>
  </sheetData>
  <pageMargins left="0.75" right="0.75" top="0.75" bottom="1" header="0.5" footer="0.5"/>
  <pageSetup orientation="landscape" r:id="rId1"/>
  <headerFooter alignWithMargins="0">
    <oddFooter>&amp;CPage &amp;P of &amp;N&amp;RPrint Date-Time: 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B04512-CE3F-499D-864A-2AD79639644E}"/>
</file>

<file path=customXml/itemProps2.xml><?xml version="1.0" encoding="utf-8"?>
<ds:datastoreItem xmlns:ds="http://schemas.openxmlformats.org/officeDocument/2006/customXml" ds:itemID="{838EB5C5-047A-42F7-974D-00EF4F5F409D}"/>
</file>

<file path=customXml/itemProps3.xml><?xml version="1.0" encoding="utf-8"?>
<ds:datastoreItem xmlns:ds="http://schemas.openxmlformats.org/officeDocument/2006/customXml" ds:itemID="{3F8E8469-2B10-4F0C-945F-4237AABE2CA0}"/>
</file>

<file path=customXml/itemProps4.xml><?xml version="1.0" encoding="utf-8"?>
<ds:datastoreItem xmlns:ds="http://schemas.openxmlformats.org/officeDocument/2006/customXml" ds:itemID="{6605ED4B-95E1-42CF-91FE-3AE69B096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G-FIT</vt:lpstr>
      <vt:lpstr>G_FIT</vt:lpstr>
      <vt:lpstr>G_FIT_Area</vt:lpstr>
      <vt:lpstr>'G-FIT'!Print_Area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2020-04-16T21:55:32Z</cp:lastPrinted>
  <dcterms:created xsi:type="dcterms:W3CDTF">2020-04-16T21:42:18Z</dcterms:created>
  <dcterms:modified xsi:type="dcterms:W3CDTF">2020-08-28T20:43:20Z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