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1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R:\Regulatory_Affairs\2020 Washington General Rate Case\Revenue Requirement\Exhibits\"/>
    </mc:Choice>
  </mc:AlternateContent>
  <xr:revisionPtr revIDLastSave="0" documentId="13_ncr:1_{B81A0EA2-C138-43F2-BD48-12B7EF2989D6}" xr6:coauthVersionLast="36" xr6:coauthVersionMax="36" xr10:uidLastSave="{00000000-0000-0000-0000-000000000000}"/>
  <bookViews>
    <workbookView xWindow="-15" yWindow="-15" windowWidth="12120" windowHeight="4860" tabRatio="896" xr2:uid="{00000000-000D-0000-FFFF-FFFF00000000}"/>
  </bookViews>
  <sheets>
    <sheet name="KTW-2 - Rev Req" sheetId="1" r:id="rId1"/>
    <sheet name="KTW-3 p1 - Test Year Results" sheetId="3" r:id="rId2"/>
    <sheet name="KTW-3 p2 &amp; p3 - O&amp;M" sheetId="4" r:id="rId3"/>
    <sheet name="KTW-3 p4 - Factors" sheetId="5" r:id="rId4"/>
    <sheet name="KTW-3 p5 - Taxes" sheetId="6" r:id="rId5"/>
    <sheet name="KTW-3 p6 &amp; p7 - Rate Base" sheetId="7" r:id="rId6"/>
    <sheet name="KTW-3 p8 - Cost of Cap" sheetId="8" r:id="rId7"/>
    <sheet name="KTW-4,5,8 p1 - Adjust Issues" sheetId="10" r:id="rId8"/>
    <sheet name="KTW-4,5,8 p2 - Adjust Tax" sheetId="11" r:id="rId9"/>
    <sheet name="KTW-4 p3 - Revenue &amp; Gas Cost" sheetId="12" r:id="rId10"/>
    <sheet name="KTW-4 p4 - Misc Rev Adjs" sheetId="13" r:id="rId11"/>
    <sheet name="KTW-4 p5 - Bonuses" sheetId="14" r:id="rId12"/>
    <sheet name="KTW-4 p6 - Property Taxes" sheetId="15" r:id="rId13"/>
    <sheet name="KTW-4 p7 - Uncollectible" sheetId="16" r:id="rId14"/>
    <sheet name="KTW-4 p8 - Working Cap" sheetId="17" r:id="rId15"/>
    <sheet name="KTW-4 p9 - Marketing" sheetId="18" r:id="rId16"/>
    <sheet name="KTW-4 p10 - Claims" sheetId="19" r:id="rId17"/>
    <sheet name="KTW-4 p11 - Rate Case Exp" sheetId="20" r:id="rId18"/>
    <sheet name="KTW-4 p12 - Clearing" sheetId="21" r:id="rId19"/>
    <sheet name="KTW-4 p13 - Holdco" sheetId="28" r:id="rId20"/>
    <sheet name="KTW-5 p3 - Payroll 1" sheetId="23" r:id="rId21"/>
    <sheet name="KTW-5 p4 - Payroll 2" sheetId="24" r:id="rId22"/>
    <sheet name="KTW-5 p5 - Pay Overheads" sheetId="25" r:id="rId23"/>
    <sheet name="KTW-5 p6 - 250 Taylor" sheetId="26" r:id="rId24"/>
    <sheet name="KTW-5 p7,KTW-8 p3 - Post TY Adj" sheetId="27" r:id="rId25"/>
    <sheet name="KTW-5 p8 - EDIT RB Adj." sheetId="29" r:id="rId26"/>
    <sheet name="KTW-5 p9 - EOP Deprec Exp" sheetId="22" r:id="rId27"/>
    <sheet name="KTW-5 p10 - EOP Rate Base" sheetId="33" r:id="rId28"/>
    <sheet name="KTW-7,9 p1 - Rev Req" sheetId="9" r:id="rId29"/>
  </sheets>
  <definedNames>
    <definedName name="_MailEndCompose" localSheetId="11">'KTW-4 p5 - Bonuses'!#REF!</definedName>
    <definedName name="_PG3">#N/A</definedName>
    <definedName name="calcsheet1">#N/A</definedName>
    <definedName name="calcsheet2">#N/A</definedName>
    <definedName name="calcsheet3">#N/A</definedName>
    <definedName name="casepg1">#N/A</definedName>
    <definedName name="I">"a1..m50"</definedName>
    <definedName name="NORMALIZE">#REF!</definedName>
    <definedName name="ONCOR_ELECTRIC_DELIVERY_COMPANY">#REF!</definedName>
    <definedName name="page1">#N/A</definedName>
    <definedName name="page2">#N/A</definedName>
    <definedName name="page3">#N/A</definedName>
    <definedName name="pg_2c">#N/A</definedName>
    <definedName name="pg_2d">#N/A</definedName>
    <definedName name="pg_2e">#N/A</definedName>
    <definedName name="pg_2f">#N/A</definedName>
    <definedName name="pg_2h">#N/A</definedName>
    <definedName name="pg_2i">#N/A</definedName>
    <definedName name="pg_2j">#N/A</definedName>
    <definedName name="pg_2k">#N/A</definedName>
    <definedName name="pg_2l">#N/A</definedName>
    <definedName name="pg_2m">#N/A</definedName>
    <definedName name="pg_2n">#N/A</definedName>
    <definedName name="pg_2o">#N/A</definedName>
    <definedName name="_xlnm.Print_Area" localSheetId="0">'KTW-2 - Rev Req'!$A$1:$K$40</definedName>
    <definedName name="_xlnm.Print_Area" localSheetId="1">'KTW-3 p1 - Test Year Results'!$A$1:$E$41</definedName>
    <definedName name="_xlnm.Print_Area" localSheetId="2">'KTW-3 p2 &amp; p3 - O&amp;M'!$A$1:$G$53,'KTW-3 p2 &amp; p3 - O&amp;M'!$A$55:$G$111</definedName>
    <definedName name="_xlnm.Print_Area" localSheetId="4">'KTW-3 p5 - Taxes'!$A$1:$C$27</definedName>
    <definedName name="_xlnm.Print_Area" localSheetId="5">'KTW-3 p6 &amp; p7 - Rate Base'!$A$1:$Q$89</definedName>
    <definedName name="_xlnm.Print_Area" localSheetId="6">'KTW-3 p8 - Cost of Cap'!$A$1:$E$44</definedName>
    <definedName name="_xlnm.Print_Area" localSheetId="16">'KTW-4 p10 - Claims'!$A$1:$E$32</definedName>
    <definedName name="_xlnm.Print_Area" localSheetId="17">'KTW-4 p11 - Rate Case Exp'!$A$1:$C$20</definedName>
    <definedName name="_xlnm.Print_Area" localSheetId="18">'KTW-4 p12 - Clearing'!$A$1:$D$12</definedName>
    <definedName name="_xlnm.Print_Area" localSheetId="9">'KTW-4 p3 - Revenue &amp; Gas Cost'!$A$1:$K$37</definedName>
    <definedName name="_xlnm.Print_Area" localSheetId="10">'KTW-4 p4 - Misc Rev Adjs'!$A$1:$E$38</definedName>
    <definedName name="_xlnm.Print_Area" localSheetId="11">'KTW-4 p5 - Bonuses'!$A$1:$H$34</definedName>
    <definedName name="_xlnm.Print_Area" localSheetId="13">'KTW-4 p7 - Uncollectible'!$A$1:$F$48</definedName>
    <definedName name="_xlnm.Print_Area" localSheetId="14">'KTW-4 p8 - Working Cap'!#REF!</definedName>
    <definedName name="_xlnm.Print_Area" localSheetId="7">'KTW-4,5,8 p1 - Adjust Issues'!$A$1:$O$51</definedName>
    <definedName name="_xlnm.Print_Area" localSheetId="8">'KTW-4,5,8 p2 - Adjust Tax'!$A$1:$Z$28</definedName>
    <definedName name="_xlnm.Print_Area" localSheetId="20">'KTW-5 p3 - Payroll 1'!$A$1:$F$43</definedName>
    <definedName name="_xlnm.Print_Area" localSheetId="21">'KTW-5 p4 - Payroll 2'!$A$1:$E$38</definedName>
    <definedName name="_xlnm.Print_Area" localSheetId="22">'KTW-5 p5 - Pay Overheads'!$A$1:$E$43</definedName>
    <definedName name="_xlnm.Print_Area" localSheetId="23">'KTW-5 p6 - 250 Taylor'!$A$1:$C$13</definedName>
    <definedName name="_xlnm.Print_Area" localSheetId="26">'KTW-5 p9 - EOP Deprec Exp'!$A$1:$C$15</definedName>
    <definedName name="_xlnm.Print_Titles" localSheetId="2">'KTW-3 p2 &amp; p3 - O&amp;M'!$1:$5</definedName>
    <definedName name="_xlnm.Print_Titles" localSheetId="5">'KTW-3 p6 &amp; p7 - Rate Base'!$1:$6</definedName>
    <definedName name="_xlnm.Print_Titles" localSheetId="7">'KTW-4,5,8 p1 - Adjust Issues'!$A:$B</definedName>
    <definedName name="_xlnm.Print_Titles" localSheetId="8">'KTW-4,5,8 p2 - Adjust Tax'!$A:$B</definedName>
    <definedName name="print55">#REF!</definedName>
    <definedName name="ror_1">#N/A</definedName>
    <definedName name="ror_2">#N/A</definedName>
    <definedName name="sue">#N/A</definedName>
    <definedName name="WS3A2">#N/A</definedName>
    <definedName name="Z_6ED201AA_AB2E_4FE7_B06B_B07932512C4D_.wvu.PrintArea" localSheetId="0" hidden="1">'KTW-2 - Rev Req'!$A$1:$G$40</definedName>
    <definedName name="Z_6ED201AA_AB2E_4FE7_B06B_B07932512C4D_.wvu.PrintArea" localSheetId="1" hidden="1">'KTW-3 p1 - Test Year Results'!$A$1:$E$41</definedName>
    <definedName name="Z_6ED201AA_AB2E_4FE7_B06B_B07932512C4D_.wvu.PrintArea" localSheetId="2" hidden="1">'KTW-3 p2 &amp; p3 - O&amp;M'!$A$1:$G$112</definedName>
    <definedName name="Z_6ED201AA_AB2E_4FE7_B06B_B07932512C4D_.wvu.PrintArea" localSheetId="3" hidden="1">'KTW-3 p4 - Factors'!$A$6:$D$27</definedName>
    <definedName name="Z_6ED201AA_AB2E_4FE7_B06B_B07932512C4D_.wvu.PrintArea" localSheetId="4" hidden="1">'KTW-3 p5 - Taxes'!$A$1:$C$27</definedName>
    <definedName name="Z_6ED201AA_AB2E_4FE7_B06B_B07932512C4D_.wvu.PrintArea" localSheetId="5" hidden="1">'KTW-3 p6 &amp; p7 - Rate Base'!$A$1:$Q$89</definedName>
    <definedName name="Z_6ED201AA_AB2E_4FE7_B06B_B07932512C4D_.wvu.PrintArea" localSheetId="6" hidden="1">'KTW-3 p8 - Cost of Cap'!$A$1:$E$44</definedName>
    <definedName name="Z_6ED201AA_AB2E_4FE7_B06B_B07932512C4D_.wvu.PrintArea" localSheetId="16" hidden="1">'KTW-4 p10 - Claims'!$A$1:$E$32</definedName>
    <definedName name="Z_6ED201AA_AB2E_4FE7_B06B_B07932512C4D_.wvu.PrintArea" localSheetId="17" hidden="1">'KTW-4 p11 - Rate Case Exp'!$A$1:$C$20</definedName>
    <definedName name="Z_6ED201AA_AB2E_4FE7_B06B_B07932512C4D_.wvu.PrintArea" localSheetId="18" hidden="1">'KTW-4 p12 - Clearing'!$A$1:$D$12</definedName>
    <definedName name="Z_6ED201AA_AB2E_4FE7_B06B_B07932512C4D_.wvu.PrintArea" localSheetId="9" hidden="1">'KTW-4 p3 - Revenue &amp; Gas Cost'!$A$1:$K$37</definedName>
    <definedName name="Z_6ED201AA_AB2E_4FE7_B06B_B07932512C4D_.wvu.PrintArea" localSheetId="10" hidden="1">'KTW-4 p4 - Misc Rev Adjs'!$A$1:$E$38</definedName>
    <definedName name="Z_6ED201AA_AB2E_4FE7_B06B_B07932512C4D_.wvu.PrintArea" localSheetId="11" hidden="1">'KTW-4 p5 - Bonuses'!$A$1:$H$33</definedName>
    <definedName name="Z_6ED201AA_AB2E_4FE7_B06B_B07932512C4D_.wvu.PrintArea" localSheetId="13" hidden="1">'KTW-4 p7 - Uncollectible'!$A$1:$F$48</definedName>
    <definedName name="Z_6ED201AA_AB2E_4FE7_B06B_B07932512C4D_.wvu.PrintArea" localSheetId="7" hidden="1">'KTW-4,5,8 p1 - Adjust Issues'!$A$1:$Z$49</definedName>
    <definedName name="Z_6ED201AA_AB2E_4FE7_B06B_B07932512C4D_.wvu.PrintArea" localSheetId="8" hidden="1">'KTW-4,5,8 p2 - Adjust Tax'!$A$1:$Z$28</definedName>
    <definedName name="Z_6ED201AA_AB2E_4FE7_B06B_B07932512C4D_.wvu.PrintArea" localSheetId="20" hidden="1">'KTW-5 p3 - Payroll 1'!$A$1:$F$43</definedName>
    <definedName name="Z_6ED201AA_AB2E_4FE7_B06B_B07932512C4D_.wvu.PrintArea" localSheetId="21" hidden="1">'KTW-5 p4 - Payroll 2'!$A$1:$E$38</definedName>
    <definedName name="Z_6ED201AA_AB2E_4FE7_B06B_B07932512C4D_.wvu.PrintArea" localSheetId="22" hidden="1">'KTW-5 p5 - Pay Overheads'!$A$1:$E$43</definedName>
    <definedName name="Z_6ED201AA_AB2E_4FE7_B06B_B07932512C4D_.wvu.PrintArea" localSheetId="23" hidden="1">'KTW-5 p6 - 250 Taylor'!$A$1:$C$13</definedName>
    <definedName name="Z_6ED201AA_AB2E_4FE7_B06B_B07932512C4D_.wvu.PrintArea" localSheetId="26" hidden="1">'KTW-5 p9 - EOP Deprec Exp'!$A$1:$C$15</definedName>
    <definedName name="Z_6ED201AA_AB2E_4FE7_B06B_B07932512C4D_.wvu.PrintTitles" localSheetId="2" hidden="1">'KTW-3 p2 &amp; p3 - O&amp;M'!$1:$5</definedName>
    <definedName name="Z_6ED201AA_AB2E_4FE7_B06B_B07932512C4D_.wvu.PrintTitles" localSheetId="5" hidden="1">'KTW-3 p6 &amp; p7 - Rate Base'!$1:$6</definedName>
    <definedName name="Z_6ED201AA_AB2E_4FE7_B06B_B07932512C4D_.wvu.PrintTitles" localSheetId="7" hidden="1">'KTW-4,5,8 p1 - Adjust Issues'!$A:$B</definedName>
    <definedName name="Z_6ED201AA_AB2E_4FE7_B06B_B07932512C4D_.wvu.PrintTitles" localSheetId="8" hidden="1">'KTW-4,5,8 p2 - Adjust Tax'!$A:$B</definedName>
    <definedName name="Z_A7BD13BF_7E57_44D7_9B02_43E2FA430390_.wvu.PrintArea" localSheetId="0" hidden="1">'KTW-2 - Rev Req'!$A$1:$G$40</definedName>
    <definedName name="Z_A7BD13BF_7E57_44D7_9B02_43E2FA430390_.wvu.PrintArea" localSheetId="1" hidden="1">'KTW-3 p1 - Test Year Results'!$A$1:$E$41</definedName>
    <definedName name="Z_A7BD13BF_7E57_44D7_9B02_43E2FA430390_.wvu.PrintArea" localSheetId="2" hidden="1">'KTW-3 p2 &amp; p3 - O&amp;M'!$A$1:$G$112</definedName>
    <definedName name="Z_A7BD13BF_7E57_44D7_9B02_43E2FA430390_.wvu.PrintArea" localSheetId="4" hidden="1">'KTW-3 p5 - Taxes'!$A$1:$C$27</definedName>
    <definedName name="Z_A7BD13BF_7E57_44D7_9B02_43E2FA430390_.wvu.PrintArea" localSheetId="5" hidden="1">'KTW-3 p6 &amp; p7 - Rate Base'!$A$1:$Q$89</definedName>
    <definedName name="Z_A7BD13BF_7E57_44D7_9B02_43E2FA430390_.wvu.PrintArea" localSheetId="6" hidden="1">'KTW-3 p8 - Cost of Cap'!$A$1:$E$44</definedName>
    <definedName name="Z_A7BD13BF_7E57_44D7_9B02_43E2FA430390_.wvu.PrintArea" localSheetId="16" hidden="1">'KTW-4 p10 - Claims'!$A$1:$E$32</definedName>
    <definedName name="Z_A7BD13BF_7E57_44D7_9B02_43E2FA430390_.wvu.PrintArea" localSheetId="17" hidden="1">'KTW-4 p11 - Rate Case Exp'!$A$1:$C$20</definedName>
    <definedName name="Z_A7BD13BF_7E57_44D7_9B02_43E2FA430390_.wvu.PrintArea" localSheetId="18" hidden="1">'KTW-4 p12 - Clearing'!$A$1:$D$12</definedName>
    <definedName name="Z_A7BD13BF_7E57_44D7_9B02_43E2FA430390_.wvu.PrintArea" localSheetId="9" hidden="1">'KTW-4 p3 - Revenue &amp; Gas Cost'!$A$1:$K$37</definedName>
    <definedName name="Z_A7BD13BF_7E57_44D7_9B02_43E2FA430390_.wvu.PrintArea" localSheetId="10" hidden="1">'KTW-4 p4 - Misc Rev Adjs'!$A$1:$E$38</definedName>
    <definedName name="Z_A7BD13BF_7E57_44D7_9B02_43E2FA430390_.wvu.PrintArea" localSheetId="11" hidden="1">'KTW-4 p5 - Bonuses'!$A$1:$H$33</definedName>
    <definedName name="Z_A7BD13BF_7E57_44D7_9B02_43E2FA430390_.wvu.PrintArea" localSheetId="13" hidden="1">'KTW-4 p7 - Uncollectible'!$A$1:$F$48</definedName>
    <definedName name="Z_A7BD13BF_7E57_44D7_9B02_43E2FA430390_.wvu.PrintArea" localSheetId="7" hidden="1">'KTW-4,5,8 p1 - Adjust Issues'!$A$1:$Z$49</definedName>
    <definedName name="Z_A7BD13BF_7E57_44D7_9B02_43E2FA430390_.wvu.PrintArea" localSheetId="8" hidden="1">'KTW-4,5,8 p2 - Adjust Tax'!$A$1:$Z$28</definedName>
    <definedName name="Z_A7BD13BF_7E57_44D7_9B02_43E2FA430390_.wvu.PrintArea" localSheetId="20" hidden="1">'KTW-5 p3 - Payroll 1'!$A$1:$F$43</definedName>
    <definedName name="Z_A7BD13BF_7E57_44D7_9B02_43E2FA430390_.wvu.PrintArea" localSheetId="21" hidden="1">'KTW-5 p4 - Payroll 2'!$A$1:$E$38</definedName>
    <definedName name="Z_A7BD13BF_7E57_44D7_9B02_43E2FA430390_.wvu.PrintArea" localSheetId="22" hidden="1">'KTW-5 p5 - Pay Overheads'!$A$1:$E$43</definedName>
    <definedName name="Z_A7BD13BF_7E57_44D7_9B02_43E2FA430390_.wvu.PrintArea" localSheetId="23" hidden="1">'KTW-5 p6 - 250 Taylor'!$A$1:$C$13</definedName>
    <definedName name="Z_A7BD13BF_7E57_44D7_9B02_43E2FA430390_.wvu.PrintArea" localSheetId="26" hidden="1">'KTW-5 p9 - EOP Deprec Exp'!$A$1:$C$15</definedName>
    <definedName name="Z_A7BD13BF_7E57_44D7_9B02_43E2FA430390_.wvu.PrintTitles" localSheetId="2" hidden="1">'KTW-3 p2 &amp; p3 - O&amp;M'!$1:$5</definedName>
    <definedName name="Z_A7BD13BF_7E57_44D7_9B02_43E2FA430390_.wvu.PrintTitles" localSheetId="5" hidden="1">'KTW-3 p6 &amp; p7 - Rate Base'!$1:$6</definedName>
    <definedName name="Z_A7BD13BF_7E57_44D7_9B02_43E2FA430390_.wvu.PrintTitles" localSheetId="7" hidden="1">'KTW-4,5,8 p1 - Adjust Issues'!$A:$B</definedName>
    <definedName name="Z_A7BD13BF_7E57_44D7_9B02_43E2FA430390_.wvu.PrintTitles" localSheetId="8" hidden="1">'KTW-4,5,8 p2 - Adjust Tax'!$A:$B</definedName>
    <definedName name="Z_C29552AC_6B79_447F_B962_713ED43BDF1A_.wvu.PrintArea" localSheetId="0" hidden="1">'KTW-2 - Rev Req'!$A$1:$G$40</definedName>
    <definedName name="Z_C29552AC_6B79_447F_B962_713ED43BDF1A_.wvu.PrintArea" localSheetId="1" hidden="1">'KTW-3 p1 - Test Year Results'!$A$1:$E$41</definedName>
    <definedName name="Z_C29552AC_6B79_447F_B962_713ED43BDF1A_.wvu.PrintArea" localSheetId="2" hidden="1">'KTW-3 p2 &amp; p3 - O&amp;M'!$A$1:$G$112</definedName>
    <definedName name="Z_C29552AC_6B79_447F_B962_713ED43BDF1A_.wvu.PrintArea" localSheetId="3" hidden="1">'KTW-3 p4 - Factors'!$A$6:$D$27</definedName>
    <definedName name="Z_C29552AC_6B79_447F_B962_713ED43BDF1A_.wvu.PrintArea" localSheetId="4" hidden="1">'KTW-3 p5 - Taxes'!$A$1:$C$27</definedName>
    <definedName name="Z_C29552AC_6B79_447F_B962_713ED43BDF1A_.wvu.PrintArea" localSheetId="5" hidden="1">'KTW-3 p6 &amp; p7 - Rate Base'!$A$1:$Q$89</definedName>
    <definedName name="Z_C29552AC_6B79_447F_B962_713ED43BDF1A_.wvu.PrintArea" localSheetId="6" hidden="1">'KTW-3 p8 - Cost of Cap'!$A$1:$E$44</definedName>
    <definedName name="Z_C29552AC_6B79_447F_B962_713ED43BDF1A_.wvu.PrintArea" localSheetId="16" hidden="1">'KTW-4 p10 - Claims'!$A$1:$E$32</definedName>
    <definedName name="Z_C29552AC_6B79_447F_B962_713ED43BDF1A_.wvu.PrintArea" localSheetId="17" hidden="1">'KTW-4 p11 - Rate Case Exp'!$A$1:$C$20</definedName>
    <definedName name="Z_C29552AC_6B79_447F_B962_713ED43BDF1A_.wvu.PrintArea" localSheetId="18" hidden="1">'KTW-4 p12 - Clearing'!$A$1:$D$12</definedName>
    <definedName name="Z_C29552AC_6B79_447F_B962_713ED43BDF1A_.wvu.PrintArea" localSheetId="9" hidden="1">'KTW-4 p3 - Revenue &amp; Gas Cost'!$A$1:$K$37</definedName>
    <definedName name="Z_C29552AC_6B79_447F_B962_713ED43BDF1A_.wvu.PrintArea" localSheetId="10" hidden="1">'KTW-4 p4 - Misc Rev Adjs'!$A$1:$E$38</definedName>
    <definedName name="Z_C29552AC_6B79_447F_B962_713ED43BDF1A_.wvu.PrintArea" localSheetId="11" hidden="1">'KTW-4 p5 - Bonuses'!$A$1:$H$33</definedName>
    <definedName name="Z_C29552AC_6B79_447F_B962_713ED43BDF1A_.wvu.PrintArea" localSheetId="13" hidden="1">'KTW-4 p7 - Uncollectible'!$A$1:$F$48</definedName>
    <definedName name="Z_C29552AC_6B79_447F_B962_713ED43BDF1A_.wvu.PrintArea" localSheetId="7" hidden="1">'KTW-4,5,8 p1 - Adjust Issues'!$A$1:$Z$49</definedName>
    <definedName name="Z_C29552AC_6B79_447F_B962_713ED43BDF1A_.wvu.PrintArea" localSheetId="8" hidden="1">'KTW-4,5,8 p2 - Adjust Tax'!$A$1:$Z$28</definedName>
    <definedName name="Z_C29552AC_6B79_447F_B962_713ED43BDF1A_.wvu.PrintArea" localSheetId="20" hidden="1">'KTW-5 p3 - Payroll 1'!$A$1:$F$43</definedName>
    <definedName name="Z_C29552AC_6B79_447F_B962_713ED43BDF1A_.wvu.PrintArea" localSheetId="21" hidden="1">'KTW-5 p4 - Payroll 2'!$A$1:$E$38</definedName>
    <definedName name="Z_C29552AC_6B79_447F_B962_713ED43BDF1A_.wvu.PrintArea" localSheetId="22" hidden="1">'KTW-5 p5 - Pay Overheads'!$A$1:$E$43</definedName>
    <definedName name="Z_C29552AC_6B79_447F_B962_713ED43BDF1A_.wvu.PrintArea" localSheetId="23" hidden="1">'KTW-5 p6 - 250 Taylor'!$A$1:$C$13</definedName>
    <definedName name="Z_C29552AC_6B79_447F_B962_713ED43BDF1A_.wvu.PrintArea" localSheetId="26" hidden="1">'KTW-5 p9 - EOP Deprec Exp'!$A$1:$C$15</definedName>
    <definedName name="Z_C29552AC_6B79_447F_B962_713ED43BDF1A_.wvu.PrintTitles" localSheetId="2" hidden="1">'KTW-3 p2 &amp; p3 - O&amp;M'!$1:$5</definedName>
    <definedName name="Z_C29552AC_6B79_447F_B962_713ED43BDF1A_.wvu.PrintTitles" localSheetId="5" hidden="1">'KTW-3 p6 &amp; p7 - Rate Base'!$1:$6</definedName>
    <definedName name="Z_C29552AC_6B79_447F_B962_713ED43BDF1A_.wvu.PrintTitles" localSheetId="7" hidden="1">'KTW-4,5,8 p1 - Adjust Issues'!$A:$B</definedName>
    <definedName name="Z_C29552AC_6B79_447F_B962_713ED43BDF1A_.wvu.PrintTitles" localSheetId="8" hidden="1">'KTW-4,5,8 p2 - Adjust Tax'!$A:$B</definedName>
    <definedName name="Z_D711E10B_9441_4991_A2CB_ED400E35790D_.wvu.PrintArea" localSheetId="0" hidden="1">'KTW-2 - Rev Req'!$A$1:$G$40</definedName>
    <definedName name="Z_D711E10B_9441_4991_A2CB_ED400E35790D_.wvu.PrintArea" localSheetId="1" hidden="1">'KTW-3 p1 - Test Year Results'!$A$1:$E$41</definedName>
    <definedName name="Z_D711E10B_9441_4991_A2CB_ED400E35790D_.wvu.PrintArea" localSheetId="2" hidden="1">'KTW-3 p2 &amp; p3 - O&amp;M'!$A$1:$G$112</definedName>
    <definedName name="Z_D711E10B_9441_4991_A2CB_ED400E35790D_.wvu.PrintArea" localSheetId="4" hidden="1">'KTW-3 p5 - Taxes'!$A$1:$C$27</definedName>
    <definedName name="Z_D711E10B_9441_4991_A2CB_ED400E35790D_.wvu.PrintArea" localSheetId="5" hidden="1">'KTW-3 p6 &amp; p7 - Rate Base'!$A$1:$Q$89</definedName>
    <definedName name="Z_D711E10B_9441_4991_A2CB_ED400E35790D_.wvu.PrintArea" localSheetId="6" hidden="1">'KTW-3 p8 - Cost of Cap'!$A$1:$E$44</definedName>
    <definedName name="Z_D711E10B_9441_4991_A2CB_ED400E35790D_.wvu.PrintArea" localSheetId="16" hidden="1">'KTW-4 p10 - Claims'!$A$1:$E$32</definedName>
    <definedName name="Z_D711E10B_9441_4991_A2CB_ED400E35790D_.wvu.PrintArea" localSheetId="17" hidden="1">'KTW-4 p11 - Rate Case Exp'!$A$1:$C$20</definedName>
    <definedName name="Z_D711E10B_9441_4991_A2CB_ED400E35790D_.wvu.PrintArea" localSheetId="18" hidden="1">'KTW-4 p12 - Clearing'!$A$1:$D$12</definedName>
    <definedName name="Z_D711E10B_9441_4991_A2CB_ED400E35790D_.wvu.PrintArea" localSheetId="9" hidden="1">'KTW-4 p3 - Revenue &amp; Gas Cost'!$A$1:$K$37</definedName>
    <definedName name="Z_D711E10B_9441_4991_A2CB_ED400E35790D_.wvu.PrintArea" localSheetId="10" hidden="1">'KTW-4 p4 - Misc Rev Adjs'!$A$1:$E$38</definedName>
    <definedName name="Z_D711E10B_9441_4991_A2CB_ED400E35790D_.wvu.PrintArea" localSheetId="11" hidden="1">'KTW-4 p5 - Bonuses'!$A$1:$H$33</definedName>
    <definedName name="Z_D711E10B_9441_4991_A2CB_ED400E35790D_.wvu.PrintArea" localSheetId="13" hidden="1">'KTW-4 p7 - Uncollectible'!$A$1:$F$48</definedName>
    <definedName name="Z_D711E10B_9441_4991_A2CB_ED400E35790D_.wvu.PrintArea" localSheetId="7" hidden="1">'KTW-4,5,8 p1 - Adjust Issues'!$A$1:$Z$49</definedName>
    <definedName name="Z_D711E10B_9441_4991_A2CB_ED400E35790D_.wvu.PrintArea" localSheetId="8" hidden="1">'KTW-4,5,8 p2 - Adjust Tax'!$A$1:$Z$28</definedName>
    <definedName name="Z_D711E10B_9441_4991_A2CB_ED400E35790D_.wvu.PrintArea" localSheetId="20" hidden="1">'KTW-5 p3 - Payroll 1'!$A$1:$F$43</definedName>
    <definedName name="Z_D711E10B_9441_4991_A2CB_ED400E35790D_.wvu.PrintArea" localSheetId="21" hidden="1">'KTW-5 p4 - Payroll 2'!$A$1:$E$38</definedName>
    <definedName name="Z_D711E10B_9441_4991_A2CB_ED400E35790D_.wvu.PrintArea" localSheetId="22" hidden="1">'KTW-5 p5 - Pay Overheads'!$A$1:$E$43</definedName>
    <definedName name="Z_D711E10B_9441_4991_A2CB_ED400E35790D_.wvu.PrintArea" localSheetId="23" hidden="1">'KTW-5 p6 - 250 Taylor'!$A$1:$C$13</definedName>
    <definedName name="Z_D711E10B_9441_4991_A2CB_ED400E35790D_.wvu.PrintArea" localSheetId="26" hidden="1">'KTW-5 p9 - EOP Deprec Exp'!$A$1:$C$15</definedName>
    <definedName name="Z_D711E10B_9441_4991_A2CB_ED400E35790D_.wvu.PrintTitles" localSheetId="2" hidden="1">'KTW-3 p2 &amp; p3 - O&amp;M'!$1:$5</definedName>
    <definedName name="Z_D711E10B_9441_4991_A2CB_ED400E35790D_.wvu.PrintTitles" localSheetId="5" hidden="1">'KTW-3 p6 &amp; p7 - Rate Base'!$1:$6</definedName>
    <definedName name="Z_D711E10B_9441_4991_A2CB_ED400E35790D_.wvu.PrintTitles" localSheetId="7" hidden="1">'KTW-4,5,8 p1 - Adjust Issues'!$A:$B</definedName>
    <definedName name="Z_D711E10B_9441_4991_A2CB_ED400E35790D_.wvu.PrintTitles" localSheetId="8" hidden="1">'KTW-4,5,8 p2 - Adjust Tax'!$A:$B</definedName>
  </definedNames>
  <calcPr calcId="191029"/>
  <customWorkbookViews>
    <customWorkbookView name="Walker, Kyle T. - Personal View" guid="{A7BD13BF-7E57-44D7-9B02-43E2FA430390}" mergeInterval="0" personalView="1" maximized="1" xWindow="-8" yWindow="-8" windowWidth="1936" windowHeight="1056" tabRatio="896" activeSheetId="1" showComments="commIndAndComment"/>
    <customWorkbookView name="Bourdo, Lora - Personal View" guid="{C29552AC-6B79-447F-B962-713ED43BDF1A}" mergeInterval="0" personalView="1" maximized="1" xWindow="-11" yWindow="-11" windowWidth="1942" windowHeight="1042" tabRatio="896" activeSheetId="13"/>
    <customWorkbookView name="Chao, Susan - Personal View" guid="{6ED201AA-AB2E-4FE7-B06B-B07932512C4D}" mergeInterval="0" personalView="1" maximized="1" xWindow="1672" yWindow="-8" windowWidth="1696" windowHeight="1026" tabRatio="896" activeSheetId="2"/>
    <customWorkbookView name="McVay, Kevin - Personal View" guid="{D711E10B-9441-4991-A2CB-ED400E35790D}" mergeInterval="0" personalView="1" xWindow="494" yWindow="460" windowWidth="1895" windowHeight="1700" tabRatio="896" activeSheetId="23" showComments="commIndAndComment"/>
  </customWorkbookViews>
</workbook>
</file>

<file path=xl/calcChain.xml><?xml version="1.0" encoding="utf-8"?>
<calcChain xmlns="http://schemas.openxmlformats.org/spreadsheetml/2006/main">
  <c r="C39" i="23" l="1"/>
  <c r="C35" i="23"/>
  <c r="C36" i="23"/>
  <c r="X19" i="11" l="1"/>
  <c r="X24" i="11" s="1"/>
  <c r="C11" i="8" l="1"/>
  <c r="U9" i="11" l="1"/>
  <c r="V9" i="11"/>
  <c r="W9" i="11"/>
  <c r="X9" i="11"/>
  <c r="Y9" i="11"/>
  <c r="Z9" i="11"/>
  <c r="AA9" i="11"/>
  <c r="AB9" i="11"/>
  <c r="U7" i="11"/>
  <c r="V7" i="11"/>
  <c r="U8" i="11"/>
  <c r="V8" i="11"/>
  <c r="V6" i="11"/>
  <c r="U6" i="11"/>
  <c r="D9" i="11" l="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C9" i="11"/>
  <c r="F11" i="14" l="1"/>
  <c r="C34" i="24"/>
  <c r="L19" i="9" l="1"/>
  <c r="L21" i="9"/>
  <c r="L27" i="9"/>
  <c r="L29" i="9"/>
  <c r="L35" i="9"/>
  <c r="A12" i="33"/>
  <c r="A1" i="33"/>
  <c r="AB20" i="11" l="1"/>
  <c r="Y20" i="11"/>
  <c r="Z20" i="11" s="1"/>
  <c r="Y15" i="11"/>
  <c r="O15" i="11"/>
  <c r="C20" i="20" l="1"/>
  <c r="D10" i="17" l="1"/>
  <c r="E12" i="33" l="1"/>
  <c r="F12" i="33"/>
  <c r="Q79" i="7" l="1"/>
  <c r="Q80" i="7"/>
  <c r="E34" i="13"/>
  <c r="E33" i="13"/>
  <c r="E32" i="13"/>
  <c r="E31" i="13"/>
  <c r="A34" i="13"/>
  <c r="A35" i="13" s="1"/>
  <c r="A36" i="13" s="1"/>
  <c r="A37" i="13" s="1"/>
  <c r="F10" i="33" l="1"/>
  <c r="F14" i="33" s="1"/>
  <c r="V43" i="10" s="1"/>
  <c r="E10" i="33"/>
  <c r="E14" i="33" s="1"/>
  <c r="V42" i="10" s="1"/>
  <c r="C35" i="13" l="1"/>
  <c r="M13" i="11" l="1"/>
  <c r="M37" i="10"/>
  <c r="M40" i="10" s="1"/>
  <c r="M47" i="10" s="1"/>
  <c r="M17" i="10"/>
  <c r="M11" i="11" s="1"/>
  <c r="D20" i="18" l="1"/>
  <c r="C15" i="12" l="1"/>
  <c r="C25" i="12" l="1"/>
  <c r="D22" i="14" l="1"/>
  <c r="C22" i="14"/>
  <c r="H20" i="14"/>
  <c r="H18" i="14"/>
  <c r="K17" i="12" l="1"/>
  <c r="D13" i="12"/>
  <c r="D12" i="12"/>
  <c r="D11" i="12"/>
  <c r="D10" i="12"/>
  <c r="E17" i="13" l="1"/>
  <c r="G25" i="12"/>
  <c r="Q56" i="7" l="1"/>
  <c r="V13" i="11"/>
  <c r="V24" i="10"/>
  <c r="V12" i="11" s="1"/>
  <c r="V17" i="10"/>
  <c r="V11" i="11" s="1"/>
  <c r="U45" i="10"/>
  <c r="U40" i="10"/>
  <c r="U24" i="10"/>
  <c r="U12" i="11" s="1"/>
  <c r="U17" i="10"/>
  <c r="U11" i="11" s="1"/>
  <c r="U47" i="10" l="1"/>
  <c r="N12" i="11"/>
  <c r="O45" i="10"/>
  <c r="O44" i="10"/>
  <c r="O43" i="10"/>
  <c r="O42" i="10"/>
  <c r="O38" i="10"/>
  <c r="N13" i="11"/>
  <c r="N11" i="11"/>
  <c r="C37" i="23" l="1"/>
  <c r="A10" i="17" l="1"/>
  <c r="A11" i="17" s="1"/>
  <c r="A12" i="17" s="1"/>
  <c r="A13" i="17" s="1"/>
  <c r="A14" i="17" s="1"/>
  <c r="A9" i="17"/>
  <c r="R22" i="10" l="1"/>
  <c r="AA17" i="10" l="1"/>
  <c r="AA11" i="11" s="1"/>
  <c r="AB14" i="10"/>
  <c r="H13" i="1" s="1"/>
  <c r="J13" i="9" s="1"/>
  <c r="AB15" i="10"/>
  <c r="H14" i="1" s="1"/>
  <c r="J14" i="9" s="1"/>
  <c r="AB16" i="10"/>
  <c r="AB18" i="10"/>
  <c r="AB19" i="10"/>
  <c r="AB20" i="10"/>
  <c r="H19" i="1" s="1"/>
  <c r="J19" i="9" s="1"/>
  <c r="AB21" i="10"/>
  <c r="H20" i="1" s="1"/>
  <c r="J20" i="9" s="1"/>
  <c r="AB23" i="10"/>
  <c r="AB25" i="10"/>
  <c r="AB26" i="10"/>
  <c r="AB28" i="10"/>
  <c r="H27" i="1" s="1"/>
  <c r="J27" i="9" s="1"/>
  <c r="AB29" i="10"/>
  <c r="H28" i="1" s="1"/>
  <c r="J28" i="9" s="1"/>
  <c r="AB31" i="10"/>
  <c r="AB35" i="10"/>
  <c r="AB36" i="10"/>
  <c r="AB38" i="10"/>
  <c r="AB39" i="10"/>
  <c r="AB41" i="10"/>
  <c r="AB42" i="10"/>
  <c r="AB43" i="10"/>
  <c r="AB44" i="10"/>
  <c r="AB45" i="10"/>
  <c r="AB13" i="10"/>
  <c r="H12" i="1" s="1"/>
  <c r="J12" i="9" s="1"/>
  <c r="AB17" i="10" l="1"/>
  <c r="AB11" i="11" s="1"/>
  <c r="H16" i="1"/>
  <c r="J16" i="9" s="1"/>
  <c r="A19" i="28"/>
  <c r="A20" i="28" s="1"/>
  <c r="A21" i="28" s="1"/>
  <c r="A22" i="28" s="1"/>
  <c r="A23" i="28" s="1"/>
  <c r="C17" i="28" l="1"/>
  <c r="C13" i="28"/>
  <c r="A13" i="28"/>
  <c r="A14" i="28" s="1"/>
  <c r="A15" i="28" s="1"/>
  <c r="A16" i="28" s="1"/>
  <c r="A17" i="28" s="1"/>
  <c r="A18" i="28" s="1"/>
  <c r="C19" i="28" l="1"/>
  <c r="Q47" i="7" l="1"/>
  <c r="Q41" i="7" l="1"/>
  <c r="Q46" i="7" s="1"/>
  <c r="H11" i="14" l="1"/>
  <c r="F13" i="14" l="1"/>
  <c r="F22" i="14" s="1"/>
  <c r="E22" i="14" l="1"/>
  <c r="C13" i="29"/>
  <c r="C10" i="24" l="1"/>
  <c r="C15" i="24" l="1"/>
  <c r="C17" i="24" s="1"/>
  <c r="H24" i="14" l="1"/>
  <c r="E10" i="23" l="1"/>
  <c r="E25" i="23" s="1"/>
  <c r="F10" i="23"/>
  <c r="D10" i="23"/>
  <c r="D25" i="23" s="1"/>
  <c r="Q73" i="7" l="1"/>
  <c r="E10" i="18" l="1"/>
  <c r="E7" i="16" l="1"/>
  <c r="E11" i="8" l="1"/>
  <c r="E13" i="8"/>
  <c r="E12" i="8"/>
  <c r="J34" i="7" l="1"/>
  <c r="I34" i="7"/>
  <c r="H34" i="7"/>
  <c r="G34" i="7"/>
  <c r="F34" i="7"/>
  <c r="D34" i="7"/>
  <c r="J20" i="7"/>
  <c r="I20" i="7"/>
  <c r="H20" i="7"/>
  <c r="G20" i="7"/>
  <c r="F20" i="7"/>
  <c r="E20" i="7"/>
  <c r="D20" i="7"/>
  <c r="E34" i="7"/>
  <c r="K34" i="7"/>
  <c r="L34" i="7"/>
  <c r="M34" i="7"/>
  <c r="N34" i="7"/>
  <c r="O34" i="7"/>
  <c r="P34" i="7"/>
  <c r="Q9" i="7"/>
  <c r="K20" i="7"/>
  <c r="L20" i="7"/>
  <c r="M20" i="7"/>
  <c r="N20" i="7"/>
  <c r="O20" i="7"/>
  <c r="P20" i="7"/>
  <c r="A3" i="4" l="1"/>
  <c r="F35" i="9" l="1"/>
  <c r="F27" i="9"/>
  <c r="F29" i="9"/>
  <c r="F19" i="9"/>
  <c r="F21" i="9"/>
  <c r="F14" i="9"/>
  <c r="F13" i="9"/>
  <c r="G7" i="9"/>
  <c r="A3" i="9"/>
  <c r="T24" i="10" l="1"/>
  <c r="T40" i="10"/>
  <c r="Y28" i="10" l="1"/>
  <c r="Y21" i="10"/>
  <c r="Y20" i="10"/>
  <c r="Y15" i="10"/>
  <c r="Y14" i="10"/>
  <c r="Y13" i="10"/>
  <c r="W13" i="11"/>
  <c r="X13" i="11"/>
  <c r="W11" i="11"/>
  <c r="X17" i="10"/>
  <c r="X11" i="11" s="1"/>
  <c r="X40" i="10"/>
  <c r="X47" i="10" s="1"/>
  <c r="X24" i="10"/>
  <c r="X12" i="11" s="1"/>
  <c r="A13" i="22"/>
  <c r="A1" i="22"/>
  <c r="A12" i="28"/>
  <c r="A1" i="28"/>
  <c r="C21" i="6" l="1"/>
  <c r="T17" i="10" l="1"/>
  <c r="T11" i="11" s="1"/>
  <c r="T12" i="11"/>
  <c r="T13" i="11"/>
  <c r="A1" i="29"/>
  <c r="T45" i="10" l="1"/>
  <c r="T47" i="10" l="1"/>
  <c r="C11" i="20" l="1"/>
  <c r="C13" i="20" s="1"/>
  <c r="A1" i="27" l="1"/>
  <c r="A1" i="19" l="1"/>
  <c r="E15" i="12"/>
  <c r="C27" i="12"/>
  <c r="C12" i="1" l="1"/>
  <c r="E35" i="12" l="1"/>
  <c r="C19" i="1" s="1"/>
  <c r="A11" i="12"/>
  <c r="A12" i="12" s="1"/>
  <c r="A13" i="12" s="1"/>
  <c r="A15" i="12" s="1"/>
  <c r="A17" i="12" s="1"/>
  <c r="A18" i="12" s="1"/>
  <c r="A21" i="12" s="1"/>
  <c r="A22" i="12" s="1"/>
  <c r="A23" i="12" s="1"/>
  <c r="A25" i="12" s="1"/>
  <c r="A27" i="12" s="1"/>
  <c r="A31" i="12" s="1"/>
  <c r="A32" i="12" s="1"/>
  <c r="A33" i="12" s="1"/>
  <c r="A35" i="12" s="1"/>
  <c r="A37" i="12" s="1"/>
  <c r="E25" i="12"/>
  <c r="E27" i="12" s="1"/>
  <c r="C13" i="1" l="1"/>
  <c r="E37" i="12"/>
  <c r="G22" i="14" l="1"/>
  <c r="A12" i="23" l="1"/>
  <c r="A13" i="23" s="1"/>
  <c r="A14" i="23" s="1"/>
  <c r="A15" i="23" s="1"/>
  <c r="A16" i="23" s="1"/>
  <c r="A17" i="23" s="1"/>
  <c r="A19" i="23" s="1"/>
  <c r="A21" i="23" s="1"/>
  <c r="A23" i="23" s="1"/>
  <c r="A25" i="23" s="1"/>
  <c r="A27" i="23" s="1"/>
  <c r="A29" i="23" s="1"/>
  <c r="A31" i="23" s="1"/>
  <c r="A12" i="11" l="1"/>
  <c r="A13" i="11" s="1"/>
  <c r="A14" i="11" s="1"/>
  <c r="A15" i="11" s="1"/>
  <c r="A17" i="11" s="1"/>
  <c r="A19" i="11" s="1"/>
  <c r="A20" i="11" s="1"/>
  <c r="A22" i="11" s="1"/>
  <c r="A24" i="11" s="1"/>
  <c r="A25" i="11" s="1"/>
  <c r="A26" i="11" s="1"/>
  <c r="A28" i="11" s="1"/>
  <c r="D35" i="13" l="1"/>
  <c r="E29" i="13"/>
  <c r="E25" i="13"/>
  <c r="E21" i="13"/>
  <c r="E27" i="13"/>
  <c r="E23" i="13"/>
  <c r="E19" i="13"/>
  <c r="E28" i="13"/>
  <c r="E24" i="13"/>
  <c r="E20" i="13"/>
  <c r="E30" i="13"/>
  <c r="E26" i="13"/>
  <c r="E22" i="13"/>
  <c r="E18" i="13"/>
  <c r="E35" i="13" l="1"/>
  <c r="C27" i="9" l="1"/>
  <c r="Q67" i="7" l="1"/>
  <c r="Q68" i="7"/>
  <c r="Q69" i="7"/>
  <c r="Q70" i="7"/>
  <c r="Q72" i="7"/>
  <c r="Q58" i="7"/>
  <c r="Q59" i="7"/>
  <c r="Q54" i="7"/>
  <c r="Q55" i="7"/>
  <c r="Q24" i="7"/>
  <c r="Q25" i="7"/>
  <c r="Q27" i="7"/>
  <c r="Q29" i="7"/>
  <c r="Q31" i="7"/>
  <c r="Q32" i="7"/>
  <c r="Q23" i="7"/>
  <c r="Q28" i="7"/>
  <c r="E6" i="7"/>
  <c r="Q16" i="7"/>
  <c r="F6" i="7" l="1"/>
  <c r="Q30" i="7"/>
  <c r="Q26" i="7"/>
  <c r="G6" i="7" l="1"/>
  <c r="Q34" i="7"/>
  <c r="I6" i="7" l="1"/>
  <c r="J6" i="7" l="1"/>
  <c r="K6" i="7" l="1"/>
  <c r="F25" i="23"/>
  <c r="F28" i="16"/>
  <c r="E28" i="16"/>
  <c r="D28" i="16"/>
  <c r="F27" i="16"/>
  <c r="E27" i="16"/>
  <c r="D27" i="16"/>
  <c r="F26" i="16"/>
  <c r="E26" i="16"/>
  <c r="D26" i="16"/>
  <c r="F25" i="16"/>
  <c r="E25" i="16"/>
  <c r="D25" i="16"/>
  <c r="F22" i="16"/>
  <c r="E22" i="16"/>
  <c r="D22" i="16"/>
  <c r="C21" i="16"/>
  <c r="C20" i="16"/>
  <c r="C19" i="16"/>
  <c r="C18" i="16"/>
  <c r="F15" i="16"/>
  <c r="E15" i="16"/>
  <c r="D15" i="16"/>
  <c r="C14" i="16"/>
  <c r="C13" i="16"/>
  <c r="C12" i="16"/>
  <c r="C11" i="16"/>
  <c r="F7" i="16"/>
  <c r="L6" i="7" l="1"/>
  <c r="F29" i="16"/>
  <c r="C25" i="16"/>
  <c r="C32" i="16" s="1"/>
  <c r="E29" i="16"/>
  <c r="C28" i="16"/>
  <c r="C35" i="16" s="1"/>
  <c r="C27" i="16"/>
  <c r="C34" i="16" s="1"/>
  <c r="D29" i="16"/>
  <c r="C15" i="16"/>
  <c r="C26" i="16"/>
  <c r="C33" i="16" s="1"/>
  <c r="C22" i="16"/>
  <c r="M6" i="7" l="1"/>
  <c r="C36" i="16"/>
  <c r="C29" i="16"/>
  <c r="C48" i="16" s="1"/>
  <c r="C25" i="23"/>
  <c r="C34" i="25" s="1"/>
  <c r="C10" i="23"/>
  <c r="N6" i="7" l="1"/>
  <c r="O6" i="7" l="1"/>
  <c r="Q11" i="7"/>
  <c r="Q12" i="7"/>
  <c r="Q13" i="7"/>
  <c r="Q88" i="7" s="1"/>
  <c r="Q14" i="7"/>
  <c r="Q15" i="7"/>
  <c r="Q17" i="7"/>
  <c r="Q18" i="7"/>
  <c r="Q36" i="7"/>
  <c r="Q37" i="7"/>
  <c r="Q53" i="7"/>
  <c r="Y43" i="10"/>
  <c r="Q10" i="7"/>
  <c r="P6" i="7" l="1"/>
  <c r="Q20" i="7"/>
  <c r="A3" i="10" l="1"/>
  <c r="A3" i="7"/>
  <c r="A13" i="25"/>
  <c r="A15" i="25" s="1"/>
  <c r="A20" i="25" s="1"/>
  <c r="A22" i="25" s="1"/>
  <c r="A24" i="25" s="1"/>
  <c r="C32" i="11"/>
  <c r="S17" i="10"/>
  <c r="S11" i="11" s="1"/>
  <c r="S24" i="10"/>
  <c r="S12" i="11" s="1"/>
  <c r="R17" i="10"/>
  <c r="R11" i="11" s="1"/>
  <c r="R24" i="10"/>
  <c r="R12" i="11" s="1"/>
  <c r="R13" i="11"/>
  <c r="R40" i="10"/>
  <c r="R47" i="10" s="1"/>
  <c r="Q17" i="10"/>
  <c r="Q11" i="11" s="1"/>
  <c r="Q13" i="11"/>
  <c r="Q40" i="10"/>
  <c r="Q47" i="10" s="1"/>
  <c r="P17" i="10"/>
  <c r="P13" i="11"/>
  <c r="P40" i="10"/>
  <c r="P47" i="10" s="1"/>
  <c r="L17" i="10"/>
  <c r="L11" i="11" s="1"/>
  <c r="L13" i="11"/>
  <c r="K17" i="10"/>
  <c r="K11" i="11" s="1"/>
  <c r="K13" i="11"/>
  <c r="K40" i="10"/>
  <c r="K47" i="10" s="1"/>
  <c r="J17" i="10"/>
  <c r="J11" i="11" s="1"/>
  <c r="J13" i="11"/>
  <c r="I17" i="10"/>
  <c r="I11" i="11" s="1"/>
  <c r="I13" i="11"/>
  <c r="I40" i="10"/>
  <c r="I47" i="10" s="1"/>
  <c r="H17" i="10"/>
  <c r="H24" i="10"/>
  <c r="H12" i="11" s="1"/>
  <c r="H13" i="11"/>
  <c r="G17" i="10"/>
  <c r="G11" i="11" s="1"/>
  <c r="G13" i="11"/>
  <c r="G40" i="10"/>
  <c r="G47" i="10" s="1"/>
  <c r="F17" i="10"/>
  <c r="F11" i="11" s="1"/>
  <c r="F24" i="10"/>
  <c r="C17" i="15"/>
  <c r="F13" i="11"/>
  <c r="F40" i="10"/>
  <c r="F47" i="10" s="1"/>
  <c r="E17" i="10"/>
  <c r="E11" i="11" s="1"/>
  <c r="E13" i="11"/>
  <c r="D24" i="10"/>
  <c r="D13" i="11"/>
  <c r="D40" i="10"/>
  <c r="D47" i="10" s="1"/>
  <c r="C13" i="11"/>
  <c r="C40" i="10"/>
  <c r="C47" i="10" s="1"/>
  <c r="E34" i="24"/>
  <c r="E10" i="24" s="1"/>
  <c r="E15" i="24" s="1"/>
  <c r="D34" i="24"/>
  <c r="D10" i="24" s="1"/>
  <c r="K22" i="10"/>
  <c r="K24" i="10" s="1"/>
  <c r="E11" i="13"/>
  <c r="E10" i="13"/>
  <c r="E16" i="19"/>
  <c r="E18" i="19" s="1"/>
  <c r="A11" i="13"/>
  <c r="A13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" i="13"/>
  <c r="A2" i="13"/>
  <c r="A1" i="13"/>
  <c r="C13" i="13"/>
  <c r="D13" i="13"/>
  <c r="A1" i="15"/>
  <c r="A3" i="1"/>
  <c r="H13" i="14"/>
  <c r="A1" i="26"/>
  <c r="C32" i="19"/>
  <c r="D15" i="19" s="1"/>
  <c r="A2" i="10"/>
  <c r="A1" i="21"/>
  <c r="A12" i="8"/>
  <c r="A1" i="8"/>
  <c r="C15" i="8"/>
  <c r="A1" i="20"/>
  <c r="G7" i="1"/>
  <c r="O13" i="11" l="1"/>
  <c r="A2" i="16"/>
  <c r="A2" i="17"/>
  <c r="D15" i="24"/>
  <c r="F28" i="10"/>
  <c r="O28" i="10" s="1"/>
  <c r="A2" i="6"/>
  <c r="A2" i="18" s="1"/>
  <c r="A2" i="21" s="1"/>
  <c r="A26" i="25"/>
  <c r="A33" i="25" s="1"/>
  <c r="A34" i="25" s="1"/>
  <c r="A36" i="25" s="1"/>
  <c r="A38" i="25" s="1"/>
  <c r="A40" i="25" s="1"/>
  <c r="A13" i="8"/>
  <c r="A15" i="8" s="1"/>
  <c r="A19" i="8" s="1"/>
  <c r="A20" i="8" s="1"/>
  <c r="A21" i="8" s="1"/>
  <c r="A23" i="8" s="1"/>
  <c r="A25" i="8" s="1"/>
  <c r="A26" i="8" s="1"/>
  <c r="A27" i="8" s="1"/>
  <c r="D16" i="19"/>
  <c r="D18" i="19" s="1"/>
  <c r="H28" i="14"/>
  <c r="A3" i="11"/>
  <c r="A2" i="12"/>
  <c r="A2" i="8"/>
  <c r="A2" i="14"/>
  <c r="Y17" i="10"/>
  <c r="Y11" i="11" s="1"/>
  <c r="Z43" i="10"/>
  <c r="A2" i="23"/>
  <c r="A2" i="24" s="1"/>
  <c r="A2" i="25"/>
  <c r="E15" i="8"/>
  <c r="C44" i="8"/>
  <c r="E13" i="13"/>
  <c r="E28" i="3"/>
  <c r="C41" i="8"/>
  <c r="M49" i="10" s="1"/>
  <c r="M14" i="11" s="1"/>
  <c r="K12" i="11"/>
  <c r="H11" i="11"/>
  <c r="P11" i="11"/>
  <c r="A2" i="19" l="1"/>
  <c r="A2" i="33"/>
  <c r="U49" i="10"/>
  <c r="U14" i="11" s="1"/>
  <c r="N14" i="11"/>
  <c r="N17" i="11" s="1"/>
  <c r="N19" i="11" s="1"/>
  <c r="N22" i="11" s="1"/>
  <c r="N28" i="11" s="1"/>
  <c r="K38" i="1"/>
  <c r="G38" i="1"/>
  <c r="G40" i="1" s="1"/>
  <c r="A2" i="22"/>
  <c r="A2" i="15"/>
  <c r="A2" i="26"/>
  <c r="A2" i="20"/>
  <c r="A2" i="27"/>
  <c r="A2" i="28"/>
  <c r="Z28" i="10"/>
  <c r="D27" i="1" s="1"/>
  <c r="D17" i="24"/>
  <c r="E17" i="24"/>
  <c r="F12" i="23" s="1"/>
  <c r="G38" i="9"/>
  <c r="F12" i="11"/>
  <c r="W14" i="11"/>
  <c r="X49" i="10"/>
  <c r="X14" i="11" s="1"/>
  <c r="X17" i="11" s="1"/>
  <c r="K49" i="10"/>
  <c r="K14" i="11" s="1"/>
  <c r="K17" i="11" s="1"/>
  <c r="K19" i="11" s="1"/>
  <c r="T49" i="10"/>
  <c r="T14" i="11" s="1"/>
  <c r="T17" i="11" s="1"/>
  <c r="T19" i="11" s="1"/>
  <c r="T22" i="11" s="1"/>
  <c r="T28" i="11" s="1"/>
  <c r="T27" i="10" s="1"/>
  <c r="H22" i="14"/>
  <c r="A28" i="8"/>
  <c r="A30" i="8" s="1"/>
  <c r="A31" i="8" s="1"/>
  <c r="A33" i="8" s="1"/>
  <c r="A35" i="8" s="1"/>
  <c r="A37" i="8" s="1"/>
  <c r="A39" i="8" s="1"/>
  <c r="A41" i="8" s="1"/>
  <c r="A43" i="8" s="1"/>
  <c r="A44" i="8" s="1"/>
  <c r="C25" i="8"/>
  <c r="C28" i="8" s="1"/>
  <c r="Q49" i="10"/>
  <c r="Q14" i="11" s="1"/>
  <c r="R49" i="10"/>
  <c r="R14" i="11" s="1"/>
  <c r="F49" i="10"/>
  <c r="F14" i="11" s="1"/>
  <c r="G49" i="10"/>
  <c r="G14" i="11" s="1"/>
  <c r="I49" i="10"/>
  <c r="I14" i="11" s="1"/>
  <c r="P49" i="10"/>
  <c r="P14" i="11" s="1"/>
  <c r="D49" i="10"/>
  <c r="D14" i="11" s="1"/>
  <c r="C49" i="10"/>
  <c r="F15" i="23" l="1"/>
  <c r="F16" i="23" s="1"/>
  <c r="F17" i="23" s="1"/>
  <c r="K40" i="1"/>
  <c r="M40" i="9" s="1"/>
  <c r="M38" i="9"/>
  <c r="G40" i="9"/>
  <c r="I40" i="9" s="1"/>
  <c r="I38" i="9"/>
  <c r="E27" i="1"/>
  <c r="E27" i="9" s="1"/>
  <c r="D27" i="9"/>
  <c r="D12" i="23"/>
  <c r="D19" i="23" s="1"/>
  <c r="D23" i="23" s="1"/>
  <c r="E12" i="23"/>
  <c r="T32" i="10"/>
  <c r="T34" i="10" s="1"/>
  <c r="R17" i="11"/>
  <c r="F17" i="11"/>
  <c r="C14" i="11"/>
  <c r="K22" i="11"/>
  <c r="K28" i="11" s="1"/>
  <c r="K27" i="10" s="1"/>
  <c r="E13" i="23" l="1"/>
  <c r="E14" i="23" s="1"/>
  <c r="G27" i="1"/>
  <c r="I27" i="1" s="1"/>
  <c r="C12" i="23"/>
  <c r="D27" i="23"/>
  <c r="F19" i="11"/>
  <c r="F22" i="11" s="1"/>
  <c r="F28" i="11" s="1"/>
  <c r="F27" i="10" s="1"/>
  <c r="R19" i="11"/>
  <c r="R22" i="11" s="1"/>
  <c r="R28" i="11" s="1"/>
  <c r="R27" i="10" s="1"/>
  <c r="R32" i="10" s="1"/>
  <c r="R34" i="10" s="1"/>
  <c r="K32" i="10"/>
  <c r="K34" i="10" s="1"/>
  <c r="C13" i="23" l="1"/>
  <c r="K27" i="1"/>
  <c r="M27" i="9" s="1"/>
  <c r="K27" i="9"/>
  <c r="G27" i="9"/>
  <c r="I27" i="9" s="1"/>
  <c r="C14" i="23"/>
  <c r="F32" i="10"/>
  <c r="F34" i="10" s="1"/>
  <c r="E19" i="23" l="1"/>
  <c r="E23" i="23" s="1"/>
  <c r="E27" i="23" l="1"/>
  <c r="C15" i="23" l="1"/>
  <c r="F19" i="23"/>
  <c r="C16" i="23"/>
  <c r="F23" i="23" l="1"/>
  <c r="C19" i="23"/>
  <c r="F27" i="23" l="1"/>
  <c r="C23" i="23"/>
  <c r="C21" i="23" l="1"/>
  <c r="C33" i="25"/>
  <c r="C36" i="25" s="1"/>
  <c r="C40" i="25" s="1"/>
  <c r="C27" i="23"/>
  <c r="C15" i="25" l="1"/>
  <c r="O30" i="10" l="1"/>
  <c r="H22" i="12" l="1"/>
  <c r="H23" i="12"/>
  <c r="I25" i="12" l="1"/>
  <c r="H21" i="12" l="1"/>
  <c r="K25" i="12"/>
  <c r="C14" i="10" s="1"/>
  <c r="O14" i="10" s="1"/>
  <c r="Z14" i="10" s="1"/>
  <c r="D13" i="1" s="1"/>
  <c r="D13" i="9" s="1"/>
  <c r="C13" i="9" l="1"/>
  <c r="E13" i="3"/>
  <c r="E13" i="1"/>
  <c r="E13" i="9" l="1"/>
  <c r="G13" i="1"/>
  <c r="I13" i="1" l="1"/>
  <c r="G13" i="9"/>
  <c r="I13" i="9" s="1"/>
  <c r="K13" i="1" l="1"/>
  <c r="M13" i="9" s="1"/>
  <c r="K13" i="9"/>
  <c r="H12" i="12" l="1"/>
  <c r="H13" i="12"/>
  <c r="H10" i="12" l="1"/>
  <c r="G15" i="12" l="1"/>
  <c r="G27" i="12" s="1"/>
  <c r="H11" i="12" l="1"/>
  <c r="I15" i="12"/>
  <c r="K15" i="12" l="1"/>
  <c r="C13" i="10" s="1"/>
  <c r="O13" i="10" s="1"/>
  <c r="I27" i="12"/>
  <c r="I35" i="12"/>
  <c r="K35" i="12" s="1"/>
  <c r="C21" i="10" l="1"/>
  <c r="C17" i="10"/>
  <c r="C11" i="11" s="1"/>
  <c r="C20" i="10"/>
  <c r="Z13" i="10"/>
  <c r="C19" i="9"/>
  <c r="E19" i="3"/>
  <c r="C12" i="9"/>
  <c r="E12" i="3"/>
  <c r="I37" i="12"/>
  <c r="C29" i="10" l="1"/>
  <c r="D12" i="1"/>
  <c r="O20" i="10"/>
  <c r="C24" i="10"/>
  <c r="Z20" i="10" l="1"/>
  <c r="C12" i="11"/>
  <c r="C17" i="11" s="1"/>
  <c r="C19" i="11" s="1"/>
  <c r="C22" i="11" s="1"/>
  <c r="C28" i="11" s="1"/>
  <c r="C27" i="10" s="1"/>
  <c r="C32" i="10" s="1"/>
  <c r="C34" i="10" s="1"/>
  <c r="D12" i="9"/>
  <c r="E12" i="1"/>
  <c r="E12" i="9" l="1"/>
  <c r="D19" i="1"/>
  <c r="D19" i="9" l="1"/>
  <c r="E19" i="1"/>
  <c r="G19" i="1" l="1"/>
  <c r="E19" i="9"/>
  <c r="I19" i="1" l="1"/>
  <c r="G19" i="9"/>
  <c r="I19" i="9" s="1"/>
  <c r="K19" i="1" l="1"/>
  <c r="M19" i="9" s="1"/>
  <c r="K19" i="9"/>
  <c r="C23" i="5" l="1"/>
  <c r="C22" i="5"/>
  <c r="C24" i="5" l="1"/>
  <c r="C14" i="5"/>
  <c r="C10" i="5"/>
  <c r="C16" i="5"/>
  <c r="C17" i="5" l="1"/>
  <c r="C11" i="5"/>
  <c r="C12" i="5"/>
  <c r="C15" i="5"/>
  <c r="E12" i="27" l="1"/>
  <c r="AA22" i="10" s="1"/>
  <c r="AA24" i="10" s="1"/>
  <c r="C8" i="5"/>
  <c r="C38" i="16"/>
  <c r="C40" i="16" s="1"/>
  <c r="C9" i="5"/>
  <c r="E20" i="18"/>
  <c r="E27" i="18" s="1"/>
  <c r="I22" i="10" s="1"/>
  <c r="I24" i="10" s="1"/>
  <c r="AB22" i="10" l="1"/>
  <c r="H21" i="1" s="1"/>
  <c r="H23" i="1" s="1"/>
  <c r="J23" i="9" s="1"/>
  <c r="AB24" i="10"/>
  <c r="AB12" i="11" s="1"/>
  <c r="AA12" i="11"/>
  <c r="I12" i="11"/>
  <c r="I17" i="11" s="1"/>
  <c r="I19" i="11" s="1"/>
  <c r="I22" i="11" s="1"/>
  <c r="I28" i="11" s="1"/>
  <c r="I27" i="10" s="1"/>
  <c r="J21" i="9" l="1"/>
  <c r="I32" i="10"/>
  <c r="I34" i="10" s="1"/>
  <c r="C26" i="5" l="1"/>
  <c r="W12" i="11" l="1"/>
  <c r="W17" i="11" s="1"/>
  <c r="W19" i="11" s="1"/>
  <c r="W22" i="11" s="1"/>
  <c r="W28" i="11" s="1"/>
  <c r="C16" i="3" l="1"/>
  <c r="C28" i="9" l="1"/>
  <c r="E29" i="3"/>
  <c r="C20" i="3" l="1"/>
  <c r="C20" i="1"/>
  <c r="F89" i="4" l="1"/>
  <c r="C20" i="9"/>
  <c r="C42" i="16"/>
  <c r="C44" i="16" s="1"/>
  <c r="G21" i="10" s="1"/>
  <c r="E20" i="3"/>
  <c r="F73" i="4"/>
  <c r="F105" i="4"/>
  <c r="F81" i="4"/>
  <c r="G73" i="4" l="1"/>
  <c r="G105" i="4"/>
  <c r="G81" i="4"/>
  <c r="G24" i="10"/>
  <c r="O21" i="10"/>
  <c r="G89" i="4"/>
  <c r="E89" i="4"/>
  <c r="E73" i="4" l="1"/>
  <c r="E81" i="4"/>
  <c r="Z21" i="10"/>
  <c r="G12" i="11"/>
  <c r="G17" i="11" s="1"/>
  <c r="G19" i="11" s="1"/>
  <c r="G22" i="11" s="1"/>
  <c r="G28" i="11" s="1"/>
  <c r="G27" i="10" s="1"/>
  <c r="G32" i="10" s="1"/>
  <c r="G34" i="10" s="1"/>
  <c r="E105" i="4"/>
  <c r="D20" i="1" l="1"/>
  <c r="D20" i="9" l="1"/>
  <c r="E20" i="1"/>
  <c r="E20" i="9" l="1"/>
  <c r="F23" i="4" l="1"/>
  <c r="F34" i="4" l="1"/>
  <c r="F42" i="4"/>
  <c r="F65" i="4"/>
  <c r="F18" i="4"/>
  <c r="G23" i="4"/>
  <c r="G18" i="4" l="1"/>
  <c r="G34" i="4"/>
  <c r="G65" i="4"/>
  <c r="G42" i="4"/>
  <c r="F107" i="4"/>
  <c r="E23" i="4"/>
  <c r="E42" i="4"/>
  <c r="E18" i="4" l="1"/>
  <c r="E65" i="4"/>
  <c r="C21" i="1"/>
  <c r="E34" i="4"/>
  <c r="G107" i="4"/>
  <c r="C21" i="9" l="1"/>
  <c r="C23" i="9" s="1"/>
  <c r="E21" i="3"/>
  <c r="E23" i="3" s="1"/>
  <c r="C23" i="1"/>
  <c r="E107" i="4"/>
  <c r="C21" i="3" s="1"/>
  <c r="C23" i="3" l="1"/>
  <c r="F108" i="4"/>
  <c r="G108" i="4"/>
  <c r="E108" i="4" l="1"/>
  <c r="Y42" i="10" l="1"/>
  <c r="D43" i="7"/>
  <c r="E43" i="7" l="1"/>
  <c r="Z42" i="10"/>
  <c r="F43" i="7" l="1"/>
  <c r="G43" i="7" l="1"/>
  <c r="H43" i="7" l="1"/>
  <c r="I43" i="7" l="1"/>
  <c r="J43" i="7" l="1"/>
  <c r="K43" i="7" l="1"/>
  <c r="L43" i="7" l="1"/>
  <c r="M43" i="7" l="1"/>
  <c r="N43" i="7" l="1"/>
  <c r="O43" i="7" l="1"/>
  <c r="G12" i="33"/>
  <c r="Q81" i="7" l="1"/>
  <c r="G10" i="33" s="1"/>
  <c r="P43" i="7"/>
  <c r="Q45" i="7" s="1"/>
  <c r="Q48" i="7" s="1"/>
  <c r="Q38" i="7"/>
  <c r="Q43" i="7" s="1"/>
  <c r="C36" i="3" s="1"/>
  <c r="G14" i="33" l="1"/>
  <c r="V44" i="10" s="1"/>
  <c r="Y44" i="10" l="1"/>
  <c r="Z44" i="10" l="1"/>
  <c r="H12" i="33" l="1"/>
  <c r="Q84" i="7" l="1"/>
  <c r="H10" i="33" s="1"/>
  <c r="H14" i="33" l="1"/>
  <c r="V45" i="10" s="1"/>
  <c r="Y45" i="10" l="1"/>
  <c r="Z45" i="10" l="1"/>
  <c r="D14" i="17" l="1"/>
  <c r="H37" i="10" s="1"/>
  <c r="H40" i="10" l="1"/>
  <c r="H47" i="10" s="1"/>
  <c r="H49" i="10" s="1"/>
  <c r="H14" i="11" s="1"/>
  <c r="H17" i="11" l="1"/>
  <c r="H19" i="11" s="1"/>
  <c r="H22" i="11" s="1"/>
  <c r="H28" i="11" s="1"/>
  <c r="H27" i="10" s="1"/>
  <c r="H32" i="10" l="1"/>
  <c r="H34" i="10" s="1"/>
  <c r="C29" i="9" l="1"/>
  <c r="C15" i="22"/>
  <c r="U30" i="10" s="1"/>
  <c r="E30" i="3" l="1"/>
  <c r="U13" i="11"/>
  <c r="U17" i="11" l="1"/>
  <c r="U19" i="11" s="1"/>
  <c r="U22" i="11" s="1"/>
  <c r="U28" i="11" s="1"/>
  <c r="U27" i="10" s="1"/>
  <c r="U32" i="10" l="1"/>
  <c r="U34" i="10" s="1"/>
  <c r="AA30" i="10" l="1"/>
  <c r="AB30" i="10" s="1"/>
  <c r="S30" i="10"/>
  <c r="Y30" i="10" s="1"/>
  <c r="Z30" i="10" s="1"/>
  <c r="S13" i="11" l="1"/>
  <c r="Y13" i="11" s="1"/>
  <c r="AA13" i="11"/>
  <c r="S37" i="10"/>
  <c r="S40" i="10" s="1"/>
  <c r="S47" i="10" s="1"/>
  <c r="AA37" i="10"/>
  <c r="AB37" i="10" s="1"/>
  <c r="AB40" i="10" s="1"/>
  <c r="AB47" i="10" s="1"/>
  <c r="H35" i="1" s="1"/>
  <c r="J35" i="9" s="1"/>
  <c r="D29" i="1"/>
  <c r="Z13" i="11"/>
  <c r="AB13" i="11"/>
  <c r="H29" i="1"/>
  <c r="J29" i="9" s="1"/>
  <c r="AA40" i="10" l="1"/>
  <c r="AA47" i="10" s="1"/>
  <c r="AA49" i="10" s="1"/>
  <c r="D29" i="9"/>
  <c r="E29" i="1"/>
  <c r="S49" i="10"/>
  <c r="S14" i="11" l="1"/>
  <c r="AA14" i="11"/>
  <c r="AA17" i="11" s="1"/>
  <c r="AA19" i="11" s="1"/>
  <c r="AA22" i="11" s="1"/>
  <c r="AA28" i="11" s="1"/>
  <c r="AA27" i="10" s="1"/>
  <c r="AB49" i="10"/>
  <c r="AB14" i="11" s="1"/>
  <c r="AB17" i="11" s="1"/>
  <c r="AB19" i="11" s="1"/>
  <c r="AB22" i="11" s="1"/>
  <c r="AB28" i="11" s="1"/>
  <c r="G29" i="1"/>
  <c r="E29" i="9"/>
  <c r="I29" i="1" l="1"/>
  <c r="G29" i="9"/>
  <c r="I29" i="9" s="1"/>
  <c r="AB27" i="10"/>
  <c r="AA32" i="10"/>
  <c r="AA34" i="10" s="1"/>
  <c r="S17" i="11"/>
  <c r="S19" i="11" s="1"/>
  <c r="S22" i="11" s="1"/>
  <c r="S28" i="11" s="1"/>
  <c r="S27" i="10" s="1"/>
  <c r="H26" i="1" l="1"/>
  <c r="AB32" i="10"/>
  <c r="AB34" i="10" s="1"/>
  <c r="S32" i="10"/>
  <c r="S34" i="10" s="1"/>
  <c r="K29" i="1"/>
  <c r="M29" i="9" s="1"/>
  <c r="K29" i="9"/>
  <c r="J26" i="9" l="1"/>
  <c r="H31" i="1"/>
  <c r="H33" i="1" l="1"/>
  <c r="J33" i="9" s="1"/>
  <c r="J31" i="9"/>
  <c r="C27" i="3" l="1"/>
  <c r="C26" i="3" l="1"/>
  <c r="C32" i="3" s="1"/>
  <c r="C34" i="3" s="1"/>
  <c r="C39" i="3" s="1"/>
  <c r="C41" i="3" s="1"/>
  <c r="Q60" i="7" l="1"/>
  <c r="Q74" i="7" l="1"/>
  <c r="Q52" i="7" l="1"/>
  <c r="Q66" i="7" l="1"/>
  <c r="N63" i="7" l="1"/>
  <c r="Q61" i="7" l="1"/>
  <c r="G63" i="7"/>
  <c r="L63" i="7"/>
  <c r="J63" i="7"/>
  <c r="H63" i="7"/>
  <c r="Q57" i="7"/>
  <c r="D63" i="7"/>
  <c r="F63" i="7"/>
  <c r="K63" i="7"/>
  <c r="P63" i="7"/>
  <c r="C12" i="33" s="1"/>
  <c r="E63" i="7"/>
  <c r="M63" i="7"/>
  <c r="I63" i="7"/>
  <c r="O63" i="7"/>
  <c r="Q63" i="7" l="1"/>
  <c r="C10" i="33" s="1"/>
  <c r="H77" i="7"/>
  <c r="H86" i="7" s="1"/>
  <c r="E77" i="7"/>
  <c r="E86" i="7" s="1"/>
  <c r="J77" i="7"/>
  <c r="J86" i="7" s="1"/>
  <c r="L77" i="7"/>
  <c r="L86" i="7" s="1"/>
  <c r="Q75" i="7"/>
  <c r="F77" i="7"/>
  <c r="F86" i="7" s="1"/>
  <c r="G77" i="7"/>
  <c r="G86" i="7" s="1"/>
  <c r="M77" i="7"/>
  <c r="M86" i="7" s="1"/>
  <c r="P77" i="7"/>
  <c r="D12" i="33" s="1"/>
  <c r="I77" i="7"/>
  <c r="I86" i="7" s="1"/>
  <c r="O77" i="7"/>
  <c r="O86" i="7" s="1"/>
  <c r="K77" i="7"/>
  <c r="K86" i="7" s="1"/>
  <c r="N77" i="7"/>
  <c r="N86" i="7" s="1"/>
  <c r="D77" i="7"/>
  <c r="D86" i="7" s="1"/>
  <c r="Q71" i="7"/>
  <c r="Q77" i="7" l="1"/>
  <c r="D10" i="33"/>
  <c r="D14" i="33" s="1"/>
  <c r="V38" i="10" s="1"/>
  <c r="Y38" i="10" s="1"/>
  <c r="Z38" i="10" s="1"/>
  <c r="C14" i="33"/>
  <c r="V37" i="10" s="1"/>
  <c r="P86" i="7"/>
  <c r="Q86" i="7"/>
  <c r="C35" i="1" l="1"/>
  <c r="C35" i="9" s="1"/>
  <c r="V40" i="10"/>
  <c r="V47" i="10" s="1"/>
  <c r="Y37" i="10"/>
  <c r="C13" i="6" l="1"/>
  <c r="E36" i="3"/>
  <c r="Y40" i="10"/>
  <c r="Y47" i="10" s="1"/>
  <c r="Y49" i="10" s="1"/>
  <c r="V49" i="10"/>
  <c r="V14" i="11" l="1"/>
  <c r="V17" i="11" l="1"/>
  <c r="V19" i="11" s="1"/>
  <c r="V22" i="11" s="1"/>
  <c r="V28" i="11" s="1"/>
  <c r="V27" i="10" s="1"/>
  <c r="Y14" i="11"/>
  <c r="V32" i="10" l="1"/>
  <c r="V34" i="10" s="1"/>
  <c r="X28" i="11" l="1"/>
  <c r="X32" i="10" l="1"/>
  <c r="X34" i="10" s="1"/>
  <c r="C18" i="5" l="1"/>
  <c r="C29" i="23"/>
  <c r="C24" i="25"/>
  <c r="E24" i="25" s="1"/>
  <c r="C31" i="23" l="1"/>
  <c r="D15" i="25"/>
  <c r="E15" i="25" l="1"/>
  <c r="E26" i="25" s="1"/>
  <c r="Q22" i="10" s="1"/>
  <c r="Q24" i="10" s="1"/>
  <c r="D40" i="25"/>
  <c r="E40" i="25" s="1"/>
  <c r="Q29" i="10" s="1"/>
  <c r="Y29" i="10" s="1"/>
  <c r="P22" i="10"/>
  <c r="Q12" i="11" l="1"/>
  <c r="Q17" i="11" s="1"/>
  <c r="Q19" i="11" s="1"/>
  <c r="Q22" i="11" s="1"/>
  <c r="Q28" i="11" s="1"/>
  <c r="Q27" i="10" s="1"/>
  <c r="P24" i="10"/>
  <c r="P12" i="11" s="1"/>
  <c r="Y22" i="10"/>
  <c r="Y24" i="10" s="1"/>
  <c r="P17" i="11" l="1"/>
  <c r="P19" i="11" s="1"/>
  <c r="P22" i="11" s="1"/>
  <c r="P28" i="11" s="1"/>
  <c r="P27" i="10" s="1"/>
  <c r="Y12" i="11"/>
  <c r="Y17" i="11" s="1"/>
  <c r="Y19" i="11" s="1"/>
  <c r="Y22" i="11" s="1"/>
  <c r="Y28" i="11" s="1"/>
  <c r="Q32" i="10"/>
  <c r="Q34" i="10" s="1"/>
  <c r="P32" i="10" l="1"/>
  <c r="P34" i="10" s="1"/>
  <c r="Y27" i="10"/>
  <c r="Y32" i="10" l="1"/>
  <c r="Y34" i="10" s="1"/>
  <c r="C19" i="5" l="1"/>
  <c r="C21" i="5" l="1"/>
  <c r="H25" i="14" l="1"/>
  <c r="C20" i="5"/>
  <c r="H26" i="14" l="1"/>
  <c r="E22" i="10" s="1"/>
  <c r="E24" i="10" l="1"/>
  <c r="E12" i="11" l="1"/>
  <c r="C29" i="5" l="1"/>
  <c r="H29" i="14" l="1"/>
  <c r="C25" i="5"/>
  <c r="E21" i="19"/>
  <c r="E23" i="19" s="1"/>
  <c r="J37" i="10" s="1"/>
  <c r="J40" i="10" s="1"/>
  <c r="J47" i="10" s="1"/>
  <c r="J49" i="10" l="1"/>
  <c r="J14" i="11" s="1"/>
  <c r="H30" i="14"/>
  <c r="E37" i="10" s="1"/>
  <c r="E40" i="10" l="1"/>
  <c r="E47" i="10" s="1"/>
  <c r="E49" i="10" l="1"/>
  <c r="E14" i="11" l="1"/>
  <c r="C37" i="13" l="1"/>
  <c r="C13" i="5"/>
  <c r="C21" i="28"/>
  <c r="C23" i="28" s="1"/>
  <c r="M22" i="10" s="1"/>
  <c r="M24" i="10" s="1"/>
  <c r="D25" i="6"/>
  <c r="D21" i="19"/>
  <c r="D23" i="19" s="1"/>
  <c r="J22" i="10" s="1"/>
  <c r="E17" i="11"/>
  <c r="E19" i="11" s="1"/>
  <c r="E22" i="11" s="1"/>
  <c r="E28" i="11" s="1"/>
  <c r="E27" i="10" s="1"/>
  <c r="C30" i="5"/>
  <c r="J24" i="10" l="1"/>
  <c r="M12" i="11"/>
  <c r="M17" i="11" s="1"/>
  <c r="M19" i="11" s="1"/>
  <c r="M22" i="11" s="1"/>
  <c r="M28" i="11" s="1"/>
  <c r="M27" i="10" s="1"/>
  <c r="E32" i="10"/>
  <c r="E34" i="10" s="1"/>
  <c r="E14" i="3" l="1"/>
  <c r="E16" i="3" s="1"/>
  <c r="C14" i="9"/>
  <c r="C16" i="9" s="1"/>
  <c r="C16" i="1"/>
  <c r="C11" i="6" s="1"/>
  <c r="C15" i="6" s="1"/>
  <c r="M32" i="10"/>
  <c r="M34" i="10" s="1"/>
  <c r="J12" i="11"/>
  <c r="J17" i="11" s="1"/>
  <c r="J19" i="11" s="1"/>
  <c r="J22" i="11" s="1"/>
  <c r="J28" i="11" s="1"/>
  <c r="J27" i="10" s="1"/>
  <c r="C27" i="5" l="1"/>
  <c r="D17" i="6"/>
  <c r="J32" i="10"/>
  <c r="J34" i="10" s="1"/>
  <c r="C19" i="6" l="1"/>
  <c r="C23" i="6" s="1"/>
  <c r="C27" i="6" s="1"/>
  <c r="C26" i="1" s="1"/>
  <c r="E26" i="3" l="1"/>
  <c r="E32" i="3" s="1"/>
  <c r="E34" i="3" s="1"/>
  <c r="E39" i="3" s="1"/>
  <c r="C31" i="1"/>
  <c r="C33" i="1" s="1"/>
  <c r="C38" i="1" s="1"/>
  <c r="C40" i="1" s="1"/>
  <c r="C26" i="9"/>
  <c r="C31" i="9" s="1"/>
  <c r="C33" i="9" s="1"/>
  <c r="C38" i="9" s="1"/>
  <c r="C40" i="9" s="1"/>
  <c r="E36" i="13"/>
  <c r="E37" i="13" s="1"/>
  <c r="D15" i="10" s="1"/>
  <c r="D37" i="13"/>
  <c r="D17" i="10" l="1"/>
  <c r="O15" i="10"/>
  <c r="E41" i="3"/>
  <c r="Z15" i="10" l="1"/>
  <c r="O17" i="10"/>
  <c r="D11" i="11"/>
  <c r="O11" i="11" s="1"/>
  <c r="D29" i="10"/>
  <c r="C28" i="5" l="1"/>
  <c r="D12" i="11"/>
  <c r="O29" i="10"/>
  <c r="Z29" i="10" s="1"/>
  <c r="D28" i="1" s="1"/>
  <c r="D14" i="1"/>
  <c r="Z17" i="10"/>
  <c r="Z11" i="11" s="1"/>
  <c r="E14" i="1" l="1"/>
  <c r="D14" i="9"/>
  <c r="D16" i="9" s="1"/>
  <c r="D16" i="1"/>
  <c r="D28" i="9"/>
  <c r="E28" i="1"/>
  <c r="E28" i="9" s="1"/>
  <c r="D17" i="11"/>
  <c r="D19" i="11" s="1"/>
  <c r="D22" i="11" s="1"/>
  <c r="D28" i="11" s="1"/>
  <c r="D27" i="10" s="1"/>
  <c r="C32" i="5"/>
  <c r="C31" i="5"/>
  <c r="D32" i="10" l="1"/>
  <c r="D34" i="10" s="1"/>
  <c r="E16" i="1"/>
  <c r="C21" i="8" s="1"/>
  <c r="E14" i="9"/>
  <c r="E16" i="9" s="1"/>
  <c r="G14" i="1"/>
  <c r="I14" i="1" l="1"/>
  <c r="G14" i="9"/>
  <c r="I14" i="9" s="1"/>
  <c r="L22" i="10"/>
  <c r="L37" i="10"/>
  <c r="C20" i="8"/>
  <c r="C19" i="8"/>
  <c r="C23" i="8" l="1"/>
  <c r="C30" i="8" s="1"/>
  <c r="C31" i="8"/>
  <c r="C33" i="8" s="1"/>
  <c r="C35" i="8" s="1"/>
  <c r="L24" i="10"/>
  <c r="O22" i="10"/>
  <c r="K14" i="1"/>
  <c r="M14" i="9" s="1"/>
  <c r="K14" i="9"/>
  <c r="L40" i="10"/>
  <c r="L47" i="10" s="1"/>
  <c r="O37" i="10"/>
  <c r="C37" i="8" l="1"/>
  <c r="C39" i="8" s="1"/>
  <c r="G51" i="10" s="1"/>
  <c r="L12" i="11"/>
  <c r="R51" i="10"/>
  <c r="T51" i="10"/>
  <c r="F51" i="10"/>
  <c r="C51" i="10"/>
  <c r="U51" i="10"/>
  <c r="S51" i="10"/>
  <c r="V51" i="10"/>
  <c r="Q51" i="10"/>
  <c r="P51" i="10"/>
  <c r="E51" i="10"/>
  <c r="M51" i="10"/>
  <c r="J51" i="10"/>
  <c r="D51" i="10"/>
  <c r="O24" i="10"/>
  <c r="Z22" i="10"/>
  <c r="O40" i="10"/>
  <c r="O47" i="10" s="1"/>
  <c r="Z37" i="10"/>
  <c r="Z40" i="10" s="1"/>
  <c r="Z47" i="10" s="1"/>
  <c r="D35" i="1" s="1"/>
  <c r="L49" i="10"/>
  <c r="X51" i="10" l="1"/>
  <c r="Y51" i="10" s="1"/>
  <c r="I51" i="10"/>
  <c r="AA51" i="10"/>
  <c r="AB51" i="10" s="1"/>
  <c r="H51" i="10"/>
  <c r="K51" i="10"/>
  <c r="L14" i="11"/>
  <c r="O14" i="11" s="1"/>
  <c r="Z49" i="10"/>
  <c r="Z14" i="11" s="1"/>
  <c r="E35" i="1"/>
  <c r="D35" i="9"/>
  <c r="D21" i="1"/>
  <c r="Z24" i="10"/>
  <c r="O12" i="11"/>
  <c r="L17" i="11" l="1"/>
  <c r="L19" i="11" s="1"/>
  <c r="L22" i="11" s="1"/>
  <c r="L28" i="11" s="1"/>
  <c r="L27" i="10" s="1"/>
  <c r="O17" i="11"/>
  <c r="O19" i="11" s="1"/>
  <c r="O22" i="11" s="1"/>
  <c r="O28" i="11" s="1"/>
  <c r="G35" i="1"/>
  <c r="E35" i="9"/>
  <c r="D21" i="9"/>
  <c r="D23" i="9" s="1"/>
  <c r="E21" i="1"/>
  <c r="D23" i="1"/>
  <c r="O27" i="10"/>
  <c r="L32" i="10"/>
  <c r="L34" i="10" s="1"/>
  <c r="Z12" i="11"/>
  <c r="Z17" i="11" s="1"/>
  <c r="Z19" i="11" s="1"/>
  <c r="Z22" i="11" s="1"/>
  <c r="Z28" i="11" s="1"/>
  <c r="L51" i="10" l="1"/>
  <c r="O51" i="10" s="1"/>
  <c r="Z51" i="10" s="1"/>
  <c r="E21" i="9"/>
  <c r="E23" i="9" s="1"/>
  <c r="G21" i="1"/>
  <c r="E23" i="1"/>
  <c r="Z27" i="10"/>
  <c r="O32" i="10"/>
  <c r="O34" i="10" s="1"/>
  <c r="I35" i="1"/>
  <c r="D45" i="1"/>
  <c r="G35" i="9"/>
  <c r="I35" i="9" s="1"/>
  <c r="G21" i="9" l="1"/>
  <c r="I21" i="9" s="1"/>
  <c r="I21" i="1"/>
  <c r="K35" i="1"/>
  <c r="K35" i="9"/>
  <c r="D26" i="1"/>
  <c r="Z32" i="10"/>
  <c r="Z34" i="10" s="1"/>
  <c r="D26" i="9" l="1"/>
  <c r="D31" i="9" s="1"/>
  <c r="D33" i="9" s="1"/>
  <c r="E26" i="1"/>
  <c r="D31" i="1"/>
  <c r="D33" i="1" s="1"/>
  <c r="K21" i="1"/>
  <c r="M21" i="9" s="1"/>
  <c r="K21" i="9"/>
  <c r="E45" i="1"/>
  <c r="M35" i="9"/>
  <c r="E26" i="9" l="1"/>
  <c r="E31" i="9" s="1"/>
  <c r="E33" i="9" s="1"/>
  <c r="E38" i="9" s="1"/>
  <c r="E40" i="9" s="1"/>
  <c r="E31" i="1"/>
  <c r="E33" i="1" s="1"/>
  <c r="E38" i="1" l="1"/>
  <c r="E40" i="1" s="1"/>
  <c r="D46" i="1"/>
  <c r="D47" i="1" s="1"/>
  <c r="F20" i="1" l="1"/>
  <c r="F28" i="1"/>
  <c r="F12" i="1"/>
  <c r="G28" i="1" l="1"/>
  <c r="F28" i="9"/>
  <c r="F26" i="1"/>
  <c r="F16" i="1"/>
  <c r="F12" i="9"/>
  <c r="F16" i="9" s="1"/>
  <c r="G12" i="1"/>
  <c r="F20" i="9"/>
  <c r="F23" i="9" s="1"/>
  <c r="G20" i="1"/>
  <c r="F23" i="1"/>
  <c r="F31" i="1" l="1"/>
  <c r="F33" i="1" s="1"/>
  <c r="F26" i="9"/>
  <c r="F31" i="9" s="1"/>
  <c r="F33" i="9" s="1"/>
  <c r="G26" i="1"/>
  <c r="G16" i="1"/>
  <c r="G12" i="9"/>
  <c r="I12" i="1"/>
  <c r="I20" i="1"/>
  <c r="G20" i="9"/>
  <c r="G23" i="1"/>
  <c r="I28" i="1"/>
  <c r="G28" i="9"/>
  <c r="I28" i="9" s="1"/>
  <c r="K12" i="9" l="1"/>
  <c r="I16" i="1"/>
  <c r="G16" i="9"/>
  <c r="I12" i="9"/>
  <c r="K28" i="9"/>
  <c r="G26" i="9"/>
  <c r="I26" i="9" s="1"/>
  <c r="I26" i="1"/>
  <c r="K26" i="9" s="1"/>
  <c r="G23" i="9"/>
  <c r="I20" i="9"/>
  <c r="G31" i="1"/>
  <c r="G33" i="1" s="1"/>
  <c r="I23" i="1"/>
  <c r="K20" i="9"/>
  <c r="D49" i="1" l="1"/>
  <c r="K23" i="9"/>
  <c r="I31" i="1"/>
  <c r="I16" i="9"/>
  <c r="K16" i="9"/>
  <c r="I23" i="9"/>
  <c r="G31" i="9"/>
  <c r="I31" i="9" s="1"/>
  <c r="G33" i="9" l="1"/>
  <c r="I33" i="9" s="1"/>
  <c r="K31" i="9"/>
  <c r="I33" i="1"/>
  <c r="I38" i="1" l="1"/>
  <c r="K33" i="9"/>
  <c r="E46" i="1"/>
  <c r="E47" i="1" s="1"/>
  <c r="J28" i="1" l="1"/>
  <c r="J20" i="1"/>
  <c r="J12" i="1"/>
  <c r="K38" i="9"/>
  <c r="I40" i="1"/>
  <c r="K40" i="9" s="1"/>
  <c r="J26" i="1" l="1"/>
  <c r="K26" i="1" s="1"/>
  <c r="M26" i="9" s="1"/>
  <c r="L12" i="9"/>
  <c r="J16" i="1"/>
  <c r="K12" i="1"/>
  <c r="M12" i="9" s="1"/>
  <c r="J23" i="1"/>
  <c r="L20" i="9"/>
  <c r="K20" i="1"/>
  <c r="M20" i="9" s="1"/>
  <c r="L28" i="9"/>
  <c r="K28" i="1"/>
  <c r="M28" i="9" s="1"/>
  <c r="L26" i="9" l="1"/>
  <c r="L23" i="9"/>
  <c r="J31" i="1"/>
  <c r="K23" i="1"/>
  <c r="M23" i="9" s="1"/>
  <c r="L16" i="9"/>
  <c r="K16" i="1"/>
  <c r="M16" i="9" s="1"/>
  <c r="J33" i="1" l="1"/>
  <c r="L31" i="9"/>
  <c r="K31" i="1"/>
  <c r="M31" i="9" s="1"/>
  <c r="L33" i="9" l="1"/>
  <c r="K33" i="1"/>
  <c r="E49" i="1" l="1"/>
  <c r="M33" i="9"/>
</calcChain>
</file>

<file path=xl/sharedStrings.xml><?xml version="1.0" encoding="utf-8"?>
<sst xmlns="http://schemas.openxmlformats.org/spreadsheetml/2006/main" count="1219" uniqueCount="637">
  <si>
    <t>NW Natural</t>
  </si>
  <si>
    <t>Northwest Natural Gas Company</t>
  </si>
  <si>
    <t>Washington Rate Case</t>
  </si>
  <si>
    <t>Test Period Actuals Tax Adjustment</t>
  </si>
  <si>
    <t>Bonus Adjustment</t>
  </si>
  <si>
    <t>Uncollectible Accounts Adjustments</t>
  </si>
  <si>
    <t>Claims Expense Adjustment</t>
  </si>
  <si>
    <t>System</t>
  </si>
  <si>
    <t>Washington</t>
  </si>
  <si>
    <t>Oregon</t>
  </si>
  <si>
    <t>($000)</t>
  </si>
  <si>
    <t>Test Year</t>
  </si>
  <si>
    <t>Proposed</t>
  </si>
  <si>
    <t>Test Year at</t>
  </si>
  <si>
    <t>Weather</t>
  </si>
  <si>
    <t>Line</t>
  </si>
  <si>
    <t>Results</t>
  </si>
  <si>
    <t>Rate</t>
  </si>
  <si>
    <t>May</t>
  </si>
  <si>
    <t xml:space="preserve">Line </t>
  </si>
  <si>
    <t>Percent of</t>
  </si>
  <si>
    <t>Weighted</t>
  </si>
  <si>
    <t xml:space="preserve">Normalized </t>
  </si>
  <si>
    <t>Payroll</t>
  </si>
  <si>
    <t>Working</t>
  </si>
  <si>
    <t>Marketing and</t>
  </si>
  <si>
    <t>Adjustment</t>
  </si>
  <si>
    <t>Three Year</t>
  </si>
  <si>
    <t>Expensed</t>
  </si>
  <si>
    <t>Disallowance</t>
  </si>
  <si>
    <t>Disallowed</t>
  </si>
  <si>
    <t>No.</t>
  </si>
  <si>
    <t>Adjustments</t>
  </si>
  <si>
    <t>Adjusted</t>
  </si>
  <si>
    <t>Increase</t>
  </si>
  <si>
    <t>Equity Return</t>
  </si>
  <si>
    <t>Gross Plant</t>
  </si>
  <si>
    <t>Average</t>
  </si>
  <si>
    <t xml:space="preserve"> No.</t>
  </si>
  <si>
    <t>Total Capital</t>
  </si>
  <si>
    <t>Average Cost</t>
  </si>
  <si>
    <t>Cost</t>
  </si>
  <si>
    <t xml:space="preserve">Gas Sales </t>
  </si>
  <si>
    <t>Bonus</t>
  </si>
  <si>
    <t>Accounts</t>
  </si>
  <si>
    <t>Capital</t>
  </si>
  <si>
    <t>Claims</t>
  </si>
  <si>
    <t>Normalized</t>
  </si>
  <si>
    <t>Allocation</t>
  </si>
  <si>
    <t>Accrual</t>
  </si>
  <si>
    <t>Amount</t>
  </si>
  <si>
    <t>Percent</t>
  </si>
  <si>
    <t>Customers-all</t>
  </si>
  <si>
    <t>O&amp;M Expense</t>
  </si>
  <si>
    <t>Construction</t>
  </si>
  <si>
    <t>(a)</t>
  </si>
  <si>
    <t>(b)</t>
  </si>
  <si>
    <t>(c)</t>
  </si>
  <si>
    <t>(d)</t>
  </si>
  <si>
    <t>(e)</t>
  </si>
  <si>
    <t>&amp; Purchases</t>
  </si>
  <si>
    <t>Revenues</t>
  </si>
  <si>
    <t>Total</t>
  </si>
  <si>
    <t>Actual</t>
  </si>
  <si>
    <t>Cost of Capital</t>
  </si>
  <si>
    <t>(f)</t>
  </si>
  <si>
    <t>(g)</t>
  </si>
  <si>
    <t>(h)</t>
  </si>
  <si>
    <t>(i)</t>
  </si>
  <si>
    <t>(j)</t>
  </si>
  <si>
    <t>(k)</t>
  </si>
  <si>
    <t>(n)</t>
  </si>
  <si>
    <t>(o)</t>
  </si>
  <si>
    <t>Performance Bonus - O &amp; M</t>
  </si>
  <si>
    <t>Operating Revenues</t>
  </si>
  <si>
    <t xml:space="preserve">   Average</t>
  </si>
  <si>
    <t>Gas Revenues</t>
  </si>
  <si>
    <t xml:space="preserve">   Sale of Gas                                                     </t>
  </si>
  <si>
    <t>Utility Income before Interest and Taxes</t>
  </si>
  <si>
    <t xml:space="preserve">   Long Term Debt</t>
  </si>
  <si>
    <t>Residential</t>
  </si>
  <si>
    <t xml:space="preserve">    Residential </t>
  </si>
  <si>
    <t>Expensed during Test period</t>
  </si>
  <si>
    <t xml:space="preserve">   Transportation                                                </t>
  </si>
  <si>
    <t xml:space="preserve">   Short Term Debt</t>
  </si>
  <si>
    <t xml:space="preserve">   Sale of Gas</t>
  </si>
  <si>
    <t xml:space="preserve">    Commercial</t>
  </si>
  <si>
    <t xml:space="preserve">   Miscellaneous Revenues</t>
  </si>
  <si>
    <t>Interest on Historic Average Rate Base</t>
  </si>
  <si>
    <t xml:space="preserve">   Transportation</t>
  </si>
  <si>
    <t xml:space="preserve">    Industrial</t>
  </si>
  <si>
    <t>Normalized Expenses</t>
  </si>
  <si>
    <t>Accumulated Depreciation</t>
  </si>
  <si>
    <t xml:space="preserve">   Common Stock</t>
  </si>
  <si>
    <t>Interruptible</t>
  </si>
  <si>
    <t xml:space="preserve">    Interruptible</t>
  </si>
  <si>
    <t xml:space="preserve">      Total Operating Revenues</t>
  </si>
  <si>
    <t>Pre-Tax Net Income</t>
  </si>
  <si>
    <t xml:space="preserve">       Total </t>
  </si>
  <si>
    <t xml:space="preserve">      Total </t>
  </si>
  <si>
    <t>Performance Bonus - Construction</t>
  </si>
  <si>
    <t>3-factor</t>
  </si>
  <si>
    <t xml:space="preserve">      Subtotal</t>
  </si>
  <si>
    <t>Operating Revenue Deductions</t>
  </si>
  <si>
    <t>Net Write-Offs</t>
  </si>
  <si>
    <t xml:space="preserve">   Gas Purchased</t>
  </si>
  <si>
    <t>Customer Advances</t>
  </si>
  <si>
    <t>Revenue Sensitive Costs</t>
  </si>
  <si>
    <t>Adjustment - System (line 4 - line 1)</t>
  </si>
  <si>
    <t xml:space="preserve">   Uncollectible Accrual for Gas Sales </t>
  </si>
  <si>
    <t xml:space="preserve">   Other Operating &amp; Maintenance Expenses   </t>
  </si>
  <si>
    <t xml:space="preserve">   Gas Sales </t>
  </si>
  <si>
    <t xml:space="preserve">   Uncollectible Accrual</t>
  </si>
  <si>
    <t xml:space="preserve">Allocation to Washington </t>
  </si>
  <si>
    <t xml:space="preserve">Tax Rate </t>
  </si>
  <si>
    <t xml:space="preserve">   Other Operating &amp; Maintenance Expenses</t>
  </si>
  <si>
    <t>Unaccounted For Gas</t>
  </si>
  <si>
    <t xml:space="preserve">   (O&amp;M on 3-factor, const on gross plant)</t>
  </si>
  <si>
    <t xml:space="preserve">      Total Operating &amp; Maintenance Expense</t>
  </si>
  <si>
    <t>Leasehold Improvements</t>
  </si>
  <si>
    <t xml:space="preserve">   Other</t>
  </si>
  <si>
    <t>Deferred Taxes</t>
  </si>
  <si>
    <t>Write-Off % - 3-Year Average</t>
  </si>
  <si>
    <t xml:space="preserve">   Federal Income Tax</t>
  </si>
  <si>
    <t xml:space="preserve">   Property Taxes</t>
  </si>
  <si>
    <t xml:space="preserve">   O &amp; M - Uncollectible </t>
  </si>
  <si>
    <t/>
  </si>
  <si>
    <t xml:space="preserve">   Oregon Excise Tax</t>
  </si>
  <si>
    <t xml:space="preserve">   Other Taxes</t>
  </si>
  <si>
    <t xml:space="preserve">   Depreciation &amp; Amortization</t>
  </si>
  <si>
    <t xml:space="preserve">   WA Utility Tax</t>
  </si>
  <si>
    <t xml:space="preserve">   WUTC Fee</t>
  </si>
  <si>
    <t xml:space="preserve">      Total Operating Revenue Deductions</t>
  </si>
  <si>
    <t>Average Rate Base</t>
  </si>
  <si>
    <t>Average Deferred Taxes</t>
  </si>
  <si>
    <t xml:space="preserve">Normalized Uncollectible </t>
  </si>
  <si>
    <t xml:space="preserve">        Net Operating Revenues</t>
  </si>
  <si>
    <t>Ending Deferred Taxes</t>
  </si>
  <si>
    <t xml:space="preserve">      Net Operating Revenues</t>
  </si>
  <si>
    <t xml:space="preserve">      Total Rate Base</t>
  </si>
  <si>
    <t xml:space="preserve">   Federal Taxable Income</t>
  </si>
  <si>
    <t>Washington Allocation Factor</t>
  </si>
  <si>
    <t xml:space="preserve">   Utility Plant in Service</t>
  </si>
  <si>
    <t xml:space="preserve">   Rate of Return</t>
  </si>
  <si>
    <t xml:space="preserve">   Total Income Taxes </t>
  </si>
  <si>
    <t xml:space="preserve">   Accumulated Depreciation</t>
  </si>
  <si>
    <t xml:space="preserve">   Return on Common Equity</t>
  </si>
  <si>
    <t xml:space="preserve">      Net Utility Plant</t>
  </si>
  <si>
    <t>Employee Cost</t>
  </si>
  <si>
    <t xml:space="preserve">   Utility Operating Income </t>
  </si>
  <si>
    <t xml:space="preserve">   Storage Gas</t>
  </si>
  <si>
    <t>Washington Allocation of Accrued Amount</t>
  </si>
  <si>
    <t>Extraordinary Claims</t>
  </si>
  <si>
    <t xml:space="preserve">   Net-to-gross factor</t>
  </si>
  <si>
    <t xml:space="preserve">   Leasehold Improvements </t>
  </si>
  <si>
    <t xml:space="preserve">     Adjustment (Normalized less Accrued)</t>
  </si>
  <si>
    <t xml:space="preserve">   Accumulated Deferred Income Taxes</t>
  </si>
  <si>
    <t xml:space="preserve">   Interest Coordination Factor</t>
  </si>
  <si>
    <t>Permanent Differences</t>
  </si>
  <si>
    <t xml:space="preserve"> is used on page 1, column (b)</t>
  </si>
  <si>
    <t xml:space="preserve">   Federal tax rate </t>
  </si>
  <si>
    <t xml:space="preserve">   Interest Coordination</t>
  </si>
  <si>
    <t>Adjustment takes expense from test period accrual to 3 year paid average</t>
  </si>
  <si>
    <t xml:space="preserve">   Uncollectible Accounts</t>
  </si>
  <si>
    <t>Revenue Requirement</t>
  </si>
  <si>
    <t>Incremental Net Operating Revenue</t>
  </si>
  <si>
    <t>Grossed up for Revenue Sensitive</t>
  </si>
  <si>
    <t>Calculated ROR after applied Revenue Requirement</t>
  </si>
  <si>
    <t>Income Tax Calculations</t>
  </si>
  <si>
    <t xml:space="preserve">   Book Revenues</t>
  </si>
  <si>
    <t xml:space="preserve">   State Tax Depreciation</t>
  </si>
  <si>
    <t xml:space="preserve">   Interest Expense (Income)</t>
  </si>
  <si>
    <t xml:space="preserve">   Book/Tax Differences (Sched. M)</t>
  </si>
  <si>
    <t>Rate Base</t>
  </si>
  <si>
    <t>Production</t>
  </si>
  <si>
    <t>Transmission</t>
  </si>
  <si>
    <t>Distribution</t>
  </si>
  <si>
    <t xml:space="preserve">   ITC</t>
  </si>
  <si>
    <t xml:space="preserve">   Current Federal Tax</t>
  </si>
  <si>
    <t xml:space="preserve">   Deferred Income Tax - Federal</t>
  </si>
  <si>
    <t xml:space="preserve">   Deferred Income Tax - State</t>
  </si>
  <si>
    <t xml:space="preserve">   ITC Restored (Deferred)</t>
  </si>
  <si>
    <t xml:space="preserve">      Total Federal Tax</t>
  </si>
  <si>
    <t>Customers-The Dalles</t>
  </si>
  <si>
    <t>firm volumes</t>
  </si>
  <si>
    <t>sales volumes</t>
  </si>
  <si>
    <t>sendout volumes</t>
  </si>
  <si>
    <t>sales/sendout volumes</t>
  </si>
  <si>
    <t>General</t>
  </si>
  <si>
    <t>Regulatory</t>
  </si>
  <si>
    <t>Telemetering</t>
  </si>
  <si>
    <t>Direct-Wa</t>
  </si>
  <si>
    <t>Direct-Or</t>
  </si>
  <si>
    <t>Gross plant direct assign</t>
  </si>
  <si>
    <t>Depreciation</t>
  </si>
  <si>
    <t>Storage Gas</t>
  </si>
  <si>
    <t>Elimination of Clearing Account Balances</t>
  </si>
  <si>
    <t>Adjustment to O&amp;M</t>
  </si>
  <si>
    <t>Adjustment to Construction</t>
  </si>
  <si>
    <t>Depreciation Factor</t>
  </si>
  <si>
    <t>Storage and storage transmission</t>
  </si>
  <si>
    <t xml:space="preserve">   Total Gross Plant</t>
  </si>
  <si>
    <t>Clearing</t>
  </si>
  <si>
    <t>Adjustments to Test Period</t>
  </si>
  <si>
    <t xml:space="preserve">   Aid in Advance of Construction</t>
  </si>
  <si>
    <t xml:space="preserve">   Book Expenses before Deprec. &amp; Interest</t>
  </si>
  <si>
    <t>Total Adjusted Construction (line 6 + line 12)</t>
  </si>
  <si>
    <t>Total Adjusted O &amp; M (line 3 + line 9)</t>
  </si>
  <si>
    <t xml:space="preserve">     Adjustment to Washington - Rate Base</t>
  </si>
  <si>
    <t xml:space="preserve">     Adjustment to Washington - O&amp;M</t>
  </si>
  <si>
    <t xml:space="preserve">Annualized Wages and Salaries                      </t>
  </si>
  <si>
    <t>Officers</t>
  </si>
  <si>
    <t xml:space="preserve"> No. </t>
  </si>
  <si>
    <t>Average Payroll per Employee</t>
  </si>
  <si>
    <t xml:space="preserve">   Adjustment to O &amp; M Payroll - System</t>
  </si>
  <si>
    <t>Washington Allocation for O&amp;M Payroll</t>
  </si>
  <si>
    <t>Adjustment to O &amp; M Payroll - Washington</t>
  </si>
  <si>
    <t xml:space="preserve">Payroll Overhead Adjustment </t>
  </si>
  <si>
    <t>Health and Life Insurance Adjustment</t>
  </si>
  <si>
    <t>Factor 1/</t>
  </si>
  <si>
    <t>Payroll Tax Adjustment</t>
  </si>
  <si>
    <t xml:space="preserve">      Total Adjustment</t>
  </si>
  <si>
    <t>Payroll - Normalized</t>
  </si>
  <si>
    <t>O&amp;M Payroll - Normalized</t>
  </si>
  <si>
    <t xml:space="preserve">O&amp;M Payroll - Actual </t>
  </si>
  <si>
    <t>1/</t>
  </si>
  <si>
    <t>Overhead</t>
  </si>
  <si>
    <t>Payroll Adjustment - Excluding Bonuses</t>
  </si>
  <si>
    <t>Notes:</t>
  </si>
  <si>
    <t>2/</t>
  </si>
  <si>
    <t>3/</t>
  </si>
  <si>
    <t>Total and Officer columns included to determine company O&amp;M % for some adjustments</t>
  </si>
  <si>
    <t>Payroll - Annualized    3/</t>
  </si>
  <si>
    <t>Total   1/</t>
  </si>
  <si>
    <t>Officers  2/</t>
  </si>
  <si>
    <t>FICA Tax Rate</t>
  </si>
  <si>
    <t>Cost of Capital and Revenue Sensitive Calculations</t>
  </si>
  <si>
    <t>Weather Normalized Gas Sales and Purchases Adjustment</t>
  </si>
  <si>
    <t>1/  Payroll Cost Allocation Factor</t>
  </si>
  <si>
    <t>Page 2</t>
  </si>
  <si>
    <t>Property</t>
  </si>
  <si>
    <t>Depreciation Expense</t>
  </si>
  <si>
    <t>(l)</t>
  </si>
  <si>
    <t>(m)</t>
  </si>
  <si>
    <t>CNG and LNG Refueling</t>
  </si>
  <si>
    <t>Subtotal Rate Base</t>
  </si>
  <si>
    <t xml:space="preserve">     Total Rate Base</t>
  </si>
  <si>
    <t>Rate Case</t>
  </si>
  <si>
    <t>Outside Services - Washington Rate Case</t>
  </si>
  <si>
    <t>Rate Case Expense Adjustment</t>
  </si>
  <si>
    <t>3-Year Average for rate case frequency</t>
  </si>
  <si>
    <t>Health and Life O&amp;M Costs - Current Cost</t>
  </si>
  <si>
    <t>Health and Life O&amp;M Costs - Actual Test Period O&amp;M</t>
  </si>
  <si>
    <t>Pension Costs - Test Period Actual O&amp;M</t>
  </si>
  <si>
    <t>Property Tax Adjustment</t>
  </si>
  <si>
    <t>Property Taxes - Test Period Expense</t>
  </si>
  <si>
    <t>Tax</t>
  </si>
  <si>
    <t>Adjustments to Miscellaneous Revenues</t>
  </si>
  <si>
    <t xml:space="preserve">No. </t>
  </si>
  <si>
    <t>Revenue &amp; Technical Adjustments</t>
  </si>
  <si>
    <t>Subtotal</t>
  </si>
  <si>
    <t>Other Miscellaneous Revenues</t>
  </si>
  <si>
    <t>DSM - Amortization</t>
  </si>
  <si>
    <t>(p)</t>
  </si>
  <si>
    <t>(q)</t>
  </si>
  <si>
    <t>Misc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</si>
  <si>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</si>
  <si>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</si>
  <si>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</si>
  <si>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</si>
  <si>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</si>
  <si>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</si>
  <si>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</si>
  <si>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</si>
  <si>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</si>
  <si>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</si>
  <si>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</si>
  <si>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Unbilled amounts</t>
  </si>
  <si>
    <t>Rate Base - System &amp; Washington</t>
  </si>
  <si>
    <t>Factor</t>
  </si>
  <si>
    <t>(Residential</t>
  </si>
  <si>
    <t>Customers)</t>
  </si>
  <si>
    <t>Allocated</t>
  </si>
  <si>
    <t>Marketing</t>
  </si>
  <si>
    <t>NBU</t>
  </si>
  <si>
    <t>BU</t>
  </si>
  <si>
    <t>Washington Allocated Results</t>
  </si>
  <si>
    <t>Marketing and Customer Communications Adjustment</t>
  </si>
  <si>
    <t>Commercial</t>
  </si>
  <si>
    <t>Industrial Firm</t>
  </si>
  <si>
    <t>Uncollectible</t>
  </si>
  <si>
    <t>Restating</t>
  </si>
  <si>
    <t>Pro Forma</t>
  </si>
  <si>
    <t>(r)</t>
  </si>
  <si>
    <t>(s)</t>
  </si>
  <si>
    <t>Cust. Comm.</t>
  </si>
  <si>
    <t>Total O&amp;M Adjustment</t>
  </si>
  <si>
    <t>Operations and Maintenance Expense: Allocation of System Amounts</t>
  </si>
  <si>
    <t>Natural Gas Storage</t>
  </si>
  <si>
    <t>Underground Storage Expense</t>
  </si>
  <si>
    <t>Operation</t>
  </si>
  <si>
    <t>816</t>
  </si>
  <si>
    <t>Wells Expense</t>
  </si>
  <si>
    <t>818</t>
  </si>
  <si>
    <t>Compressor Station Expense</t>
  </si>
  <si>
    <t>820</t>
  </si>
  <si>
    <t>Measuring and Regulator Station Expense</t>
  </si>
  <si>
    <t>821</t>
  </si>
  <si>
    <t>Purification Expense</t>
  </si>
  <si>
    <t>Maintenance</t>
  </si>
  <si>
    <t>832</t>
  </si>
  <si>
    <t>Total Underground Storage Expense</t>
  </si>
  <si>
    <t>Other Storage Expense</t>
  </si>
  <si>
    <t>840</t>
  </si>
  <si>
    <t>Supervision and Engineering</t>
  </si>
  <si>
    <t>Total Other Storage Expense</t>
  </si>
  <si>
    <t>Liquified Natural Gas Expense</t>
  </si>
  <si>
    <t>844</t>
  </si>
  <si>
    <t>847</t>
  </si>
  <si>
    <t>Total Liquified Natural Gas Expense</t>
  </si>
  <si>
    <t>Total Natural Gas Storage</t>
  </si>
  <si>
    <t>Transmission Expense</t>
  </si>
  <si>
    <t>856</t>
  </si>
  <si>
    <t>Mains Expense</t>
  </si>
  <si>
    <t>863</t>
  </si>
  <si>
    <t>Maintenance of Mains</t>
  </si>
  <si>
    <t>Total Transmission Expense</t>
  </si>
  <si>
    <t>Distribution Expense</t>
  </si>
  <si>
    <t>870</t>
  </si>
  <si>
    <t>874</t>
  </si>
  <si>
    <t>Mains and Services Expense</t>
  </si>
  <si>
    <t>875</t>
  </si>
  <si>
    <t>Measuring and Regulator Station Expense - General</t>
  </si>
  <si>
    <t>877</t>
  </si>
  <si>
    <t>Measuring and Regulator Station Expense - City Gate</t>
  </si>
  <si>
    <t>878</t>
  </si>
  <si>
    <t>Meter and House Regulator Expense</t>
  </si>
  <si>
    <t>879</t>
  </si>
  <si>
    <t>Customer Installation Expense</t>
  </si>
  <si>
    <t>880</t>
  </si>
  <si>
    <t>Other Expense</t>
  </si>
  <si>
    <t>881</t>
  </si>
  <si>
    <t>Rents</t>
  </si>
  <si>
    <t>885</t>
  </si>
  <si>
    <t>887</t>
  </si>
  <si>
    <t>Mains</t>
  </si>
  <si>
    <t>889</t>
  </si>
  <si>
    <t>891</t>
  </si>
  <si>
    <t>892</t>
  </si>
  <si>
    <t>Services</t>
  </si>
  <si>
    <t>893</t>
  </si>
  <si>
    <t>Meters and House Regulators</t>
  </si>
  <si>
    <t>894</t>
  </si>
  <si>
    <t>Other Equipment</t>
  </si>
  <si>
    <t>Total Distribution Expense</t>
  </si>
  <si>
    <t>Customer Accounts Expense</t>
  </si>
  <si>
    <t>901</t>
  </si>
  <si>
    <t>Supervision</t>
  </si>
  <si>
    <t>902</t>
  </si>
  <si>
    <t>Meter Reading Expenses</t>
  </si>
  <si>
    <t>903</t>
  </si>
  <si>
    <t>Customer Records and Collection Expense</t>
  </si>
  <si>
    <t>904</t>
  </si>
  <si>
    <t>Uncollectible Accounts</t>
  </si>
  <si>
    <t>Total Customer Accounts Expense</t>
  </si>
  <si>
    <t>Customer Service and Informational</t>
  </si>
  <si>
    <t>907</t>
  </si>
  <si>
    <t>908</t>
  </si>
  <si>
    <t>Customer Assistance Expense</t>
  </si>
  <si>
    <t>Customer Information Expense</t>
  </si>
  <si>
    <t>910</t>
  </si>
  <si>
    <t>Miscellaneous Customer Service Expense</t>
  </si>
  <si>
    <t>Total Customer Service and Informational</t>
  </si>
  <si>
    <t>Sales Expense</t>
  </si>
  <si>
    <t>911</t>
  </si>
  <si>
    <t>912</t>
  </si>
  <si>
    <t>Demonstration and Selling Expense</t>
  </si>
  <si>
    <t>913</t>
  </si>
  <si>
    <t>Advertising</t>
  </si>
  <si>
    <t>916</t>
  </si>
  <si>
    <t>Miscellaneous Sales Expense</t>
  </si>
  <si>
    <t>Total Sales Expense</t>
  </si>
  <si>
    <t>Administrative and General Expense</t>
  </si>
  <si>
    <t>921</t>
  </si>
  <si>
    <t>Office Supplies and Expense</t>
  </si>
  <si>
    <t>922</t>
  </si>
  <si>
    <t>Administrative Expenses Transferred - Credit</t>
  </si>
  <si>
    <t>924</t>
  </si>
  <si>
    <t>Property Insurance Premium</t>
  </si>
  <si>
    <t>925</t>
  </si>
  <si>
    <t>Injuries and Damages</t>
  </si>
  <si>
    <t>926</t>
  </si>
  <si>
    <t>Employee Pensions and Benefits</t>
  </si>
  <si>
    <t>928</t>
  </si>
  <si>
    <t>Regulatory Commission Expense</t>
  </si>
  <si>
    <t>930</t>
  </si>
  <si>
    <t>Miscellaneous General Expense</t>
  </si>
  <si>
    <t>931</t>
  </si>
  <si>
    <t>935</t>
  </si>
  <si>
    <t>Maintenance of General Plant</t>
  </si>
  <si>
    <t>Total Administrative and General Expense</t>
  </si>
  <si>
    <t>Total Operations and Maintenance Expense</t>
  </si>
  <si>
    <t xml:space="preserve">   3-Year Average</t>
  </si>
  <si>
    <t>WA GREAT, WA-LIEE</t>
  </si>
  <si>
    <t>13 Month</t>
  </si>
  <si>
    <t>AMA</t>
  </si>
  <si>
    <t>Commodity and Demand Amortizations</t>
  </si>
  <si>
    <t>Therm</t>
  </si>
  <si>
    <t>Deliveries</t>
  </si>
  <si>
    <t>and Margin</t>
  </si>
  <si>
    <t>Sales Volumes and Revenues</t>
  </si>
  <si>
    <t xml:space="preserve">   Total Sales of Gas Revenues</t>
  </si>
  <si>
    <t>Transportation Volumes and Revenues</t>
  </si>
  <si>
    <t>Firm</t>
  </si>
  <si>
    <t>Special Contracts - Firm</t>
  </si>
  <si>
    <t xml:space="preserve">   Total Transportation</t>
  </si>
  <si>
    <t>Total Deliveries and Revenues</t>
  </si>
  <si>
    <t>Gas Costs</t>
  </si>
  <si>
    <t xml:space="preserve">  Total Cost of Gas</t>
  </si>
  <si>
    <t>Total Margin</t>
  </si>
  <si>
    <t>Washington Normalized Amount</t>
  </si>
  <si>
    <t>Allocation Factor (Customers - All)</t>
  </si>
  <si>
    <t>Expense</t>
  </si>
  <si>
    <t>Average Employee Count - Test Period</t>
  </si>
  <si>
    <t xml:space="preserve">   (line 3 / line 2)    </t>
  </si>
  <si>
    <t xml:space="preserve">   (line 4 * line 1)    </t>
  </si>
  <si>
    <t>Customers-Residential</t>
  </si>
  <si>
    <t>Customers-Commercial</t>
  </si>
  <si>
    <t>Customers-Industrial</t>
  </si>
  <si>
    <t>Admin Transfer</t>
  </si>
  <si>
    <t>Perimeter</t>
  </si>
  <si>
    <t>Intangible Software</t>
  </si>
  <si>
    <t>Intangible Other</t>
  </si>
  <si>
    <t>Land</t>
  </si>
  <si>
    <t>Structures</t>
  </si>
  <si>
    <t>Reserve</t>
  </si>
  <si>
    <t xml:space="preserve">   Total Reserve</t>
  </si>
  <si>
    <t xml:space="preserve">   Total Rev Sensitive Costs Incl Tax</t>
  </si>
  <si>
    <t>RENT FROM GAS PROPERTY-RENT - UTILITY PR</t>
  </si>
  <si>
    <t xml:space="preserve">   Federal Income Tax  [1]</t>
  </si>
  <si>
    <t>[1]  Statutory Federal Income Tax Rate:</t>
  </si>
  <si>
    <t>Post Test Year</t>
  </si>
  <si>
    <t>in 2018</t>
  </si>
  <si>
    <t>2017 paid</t>
  </si>
  <si>
    <t xml:space="preserve">   Actual Claims - Ordinary (Paid)</t>
  </si>
  <si>
    <t>TME 9/30/18</t>
  </si>
  <si>
    <t xml:space="preserve">   3-Year Average Claims - Extraordinary 1/</t>
  </si>
  <si>
    <t>Demand Charges (Net of Deferral)</t>
  </si>
  <si>
    <t>Commodity Charges (Net of Deferral)</t>
  </si>
  <si>
    <t>Officers/Exempt</t>
  </si>
  <si>
    <t>Clerical/Hourly</t>
  </si>
  <si>
    <t>Pension Adjustment - Washington Allocated Costs</t>
  </si>
  <si>
    <t>Note: Pension administrative costs and Western States not normalized</t>
  </si>
  <si>
    <t>Marketing Expenses - Account 912</t>
  </si>
  <si>
    <t>Total Adjustment for Marketing &amp; Communications</t>
  </si>
  <si>
    <t>Storage Maint. Expense of Compressor Equp</t>
  </si>
  <si>
    <t>845</t>
  </si>
  <si>
    <t>LNG Fuel Expense - Credit Liquef Costs</t>
  </si>
  <si>
    <t>Price Per Therm</t>
  </si>
  <si>
    <t>Average Class</t>
  </si>
  <si>
    <t>Washington Post Test-Year Capital Projects</t>
  </si>
  <si>
    <t>Return on Equity Consultant</t>
  </si>
  <si>
    <t>Outside Legal</t>
  </si>
  <si>
    <t xml:space="preserve">   Total</t>
  </si>
  <si>
    <t>O&amp;M based on Regulatory application of Pension related costs in O&amp;M (costs map to Non-Operating for GAAP).</t>
  </si>
  <si>
    <t>Non-AMR Read Charge</t>
  </si>
  <si>
    <t>3-Factor</t>
  </si>
  <si>
    <t>Total Marketing and Advertising</t>
  </si>
  <si>
    <t>Adjusted Payroll - O&amp;M</t>
  </si>
  <si>
    <t>Test Period Payroll - O&amp;M</t>
  </si>
  <si>
    <t>Federal Income Tax Before Credits</t>
  </si>
  <si>
    <t xml:space="preserve">Federal Income Tax </t>
  </si>
  <si>
    <t>EDIT</t>
  </si>
  <si>
    <t>Amortization</t>
  </si>
  <si>
    <t>Property Taxes - Capitalized</t>
  </si>
  <si>
    <t>(t)</t>
  </si>
  <si>
    <t>Holdco Adjustment</t>
  </si>
  <si>
    <t>Pre Tax Income Adjusted for Permanents</t>
  </si>
  <si>
    <t>Note:</t>
  </si>
  <si>
    <t>O&amp;M above excludes amounts that are not intended to be recoverable in ratemaking.</t>
  </si>
  <si>
    <t>Percent of Total</t>
  </si>
  <si>
    <t>Test Year Based on Twelve Months Ended September 30, 2020</t>
  </si>
  <si>
    <t>Environmental Admin Costs</t>
  </si>
  <si>
    <t>Compressor Station Fuel</t>
  </si>
  <si>
    <t>ACTUAL</t>
  </si>
  <si>
    <t>2018-2020</t>
  </si>
  <si>
    <t>Expenses not qualifying under WAC 480-90-223 (913)</t>
  </si>
  <si>
    <t>2018 paid</t>
  </si>
  <si>
    <t>in 2019</t>
  </si>
  <si>
    <t>250 Taylor</t>
  </si>
  <si>
    <t>Lease Exp</t>
  </si>
  <si>
    <t>250 Taylor Lease Expense Adjustment</t>
  </si>
  <si>
    <t>TME 9/30/19</t>
  </si>
  <si>
    <t>TME 9/30/20</t>
  </si>
  <si>
    <t>Annualized 2021 Wage Increases (12 months) NBU</t>
  </si>
  <si>
    <t>n/a</t>
  </si>
  <si>
    <t xml:space="preserve">O&amp;M Payroll Factor </t>
  </si>
  <si>
    <t>2019 paid</t>
  </si>
  <si>
    <t>in 2020</t>
  </si>
  <si>
    <t>Annualized 2021 Wage Increases (12 months) BU</t>
  </si>
  <si>
    <t>12 Months Payroll - 9/30/2020</t>
  </si>
  <si>
    <t>Year 2</t>
  </si>
  <si>
    <t>Year 1</t>
  </si>
  <si>
    <t>Year 2 Test Year</t>
  </si>
  <si>
    <t>Total Year 1</t>
  </si>
  <si>
    <t>Total Year 2</t>
  </si>
  <si>
    <t>TME September</t>
  </si>
  <si>
    <t>Allocated out of NWN Utility Amount Actual</t>
  </si>
  <si>
    <t>Allocated into NWN Utility Amount Actual</t>
  </si>
  <si>
    <t>Allocated out of NWN Utility Amount Proposed</t>
  </si>
  <si>
    <t>Allocated into NWN Utility Amount Proposed</t>
  </si>
  <si>
    <t>Net Proposed</t>
  </si>
  <si>
    <t>Net Actual</t>
  </si>
  <si>
    <t>WA Allocation - 3-factor</t>
  </si>
  <si>
    <t>Net Adjustment - System</t>
  </si>
  <si>
    <t>Total Adjustment - WA</t>
  </si>
  <si>
    <t>EDIT Amort</t>
  </si>
  <si>
    <t>HoldCo</t>
  </si>
  <si>
    <t>Rate Increase</t>
  </si>
  <si>
    <t>Year 1 Test Year</t>
  </si>
  <si>
    <t>at 9.40%</t>
  </si>
  <si>
    <t>Total Yr1</t>
  </si>
  <si>
    <t>Total Yr2</t>
  </si>
  <si>
    <t>Addition to O&amp;M</t>
  </si>
  <si>
    <t>(u)</t>
  </si>
  <si>
    <t>(v)</t>
  </si>
  <si>
    <t>Post Test Year 1</t>
  </si>
  <si>
    <t>Post Test Year 2</t>
  </si>
  <si>
    <t>Capital &amp; O&amp;M</t>
  </si>
  <si>
    <t>Property Taxes - Paid During 2020</t>
  </si>
  <si>
    <t>250 Taylor Operations Center Adjustment</t>
  </si>
  <si>
    <t>Working Capital Adjustments</t>
  </si>
  <si>
    <t>Current Working Capital Assets</t>
  </si>
  <si>
    <t>Current Working Capital Liabilities</t>
  </si>
  <si>
    <t xml:space="preserve">   Net Working Capital</t>
  </si>
  <si>
    <t>WA Allocation</t>
  </si>
  <si>
    <t>Total Working Capital Adjustment</t>
  </si>
  <si>
    <t>Payroll Based on Average Employees</t>
  </si>
  <si>
    <t xml:space="preserve">Amounts reflect average salaries </t>
  </si>
  <si>
    <t>Incremental Payroll</t>
  </si>
  <si>
    <t>Incremental Payroll Taxes</t>
  </si>
  <si>
    <t>Non-Plant Related Excess Deferred Income Taxes</t>
  </si>
  <si>
    <t>2019 BU Salary Adjustment December 1, 2019</t>
  </si>
  <si>
    <t xml:space="preserve">2020 BU Salary Adjustment June 1, 2020 </t>
  </si>
  <si>
    <t>Annualized 2020 Wage Increases (5 months) NBU</t>
  </si>
  <si>
    <t>Annualized 2019 Wage Increases (2 months) BU</t>
  </si>
  <si>
    <t xml:space="preserve">2021 BU Salary Adjustment June 1, 2021 </t>
  </si>
  <si>
    <t>2020 NBU Adjustment March 1, 2020</t>
  </si>
  <si>
    <t xml:space="preserve">2021 NBU Adjustment March 1, 2021 </t>
  </si>
  <si>
    <t>Annualized 2020 Wage Increases (8 months) BU</t>
  </si>
  <si>
    <t>Depreciation Expenses (TME 9/30/20)</t>
  </si>
  <si>
    <t>Key Goals Bonus - O &amp; M [1]</t>
  </si>
  <si>
    <t>Key Goals Bonus - Construction [1]</t>
  </si>
  <si>
    <t>Net Operating Revenues at allowable ROR</t>
  </si>
  <si>
    <t>[1] Based on gross plant at September 30, 2020</t>
  </si>
  <si>
    <t>[1] Per the current Collective Bargaining Agreement, the Key Goals program does not continue past 2019</t>
  </si>
  <si>
    <t>819</t>
  </si>
  <si>
    <t>Distribution Net Plant Allocation Factor - WA</t>
  </si>
  <si>
    <t>Depreciation Expenses (Period Ending 9/30/20)  [1]</t>
  </si>
  <si>
    <t>Reference</t>
  </si>
  <si>
    <t>Open for</t>
  </si>
  <si>
    <t>Use</t>
  </si>
  <si>
    <t>Jurisdictional Allocation Factors</t>
  </si>
  <si>
    <t>LATE PAYMENT CHARGE</t>
  </si>
  <si>
    <t>AUTOMATED PAYMENT CHARGE</t>
  </si>
  <si>
    <t>FIELD COLLECTION CHARGES</t>
  </si>
  <si>
    <t>MISC SERVICE REVENUES-EARLY TERMINATION</t>
  </si>
  <si>
    <t>RECONN CHG-CR-AFTER OFFICE H</t>
  </si>
  <si>
    <t>RECONN CHG-CR-DURING OFFICE</t>
  </si>
  <si>
    <t>RECONN CHG-SEAS-AFTER OFFICE</t>
  </si>
  <si>
    <t>RECONN CHG-SEAS-DURING OFFIC</t>
  </si>
  <si>
    <t>DELINQ RECONNECT FEE</t>
  </si>
  <si>
    <t>RETURNED CHECK CHARGE</t>
  </si>
  <si>
    <t>METER RENTALS</t>
  </si>
  <si>
    <t>OTHER GAS REV - MISC</t>
  </si>
  <si>
    <t>MULTIPLE CALL OUT FEE</t>
  </si>
  <si>
    <t>SEAS RECONNECTION FEE</t>
  </si>
  <si>
    <t>SUMMARY BILLS SVCS</t>
  </si>
  <si>
    <t>NON-AMR Install/Remove Charge</t>
  </si>
  <si>
    <t>CURTAILMENT UNAUTH TA</t>
  </si>
  <si>
    <t xml:space="preserve"> [1] February 2020 was a leap year, ending February 29</t>
  </si>
  <si>
    <t xml:space="preserve"> [2] Weighted uncollectible rate of</t>
  </si>
  <si>
    <t xml:space="preserve">       Weighted Total [2]</t>
  </si>
  <si>
    <t>12 Months Ended February 28 [1]</t>
  </si>
  <si>
    <t>Excess Deferred Income Tax Amortization Rate Base Adjustment</t>
  </si>
  <si>
    <t xml:space="preserve">   Estimated Revenue Requirement</t>
  </si>
  <si>
    <t>Pension Costs - Current Cost (Calendar 2021)</t>
  </si>
  <si>
    <t>Normalized to test year average pay per executive times TY average 12.5 Officers</t>
  </si>
  <si>
    <t>Exh. KTW-2</t>
  </si>
  <si>
    <t>Exh. KTW-3</t>
  </si>
  <si>
    <t>Page 1</t>
  </si>
  <si>
    <t>Page 4</t>
  </si>
  <si>
    <t>Federal Tax Credits &amp; EDIT Amortization</t>
  </si>
  <si>
    <t>Exh. KTW-4</t>
  </si>
  <si>
    <t>Exh. KTW-5</t>
  </si>
  <si>
    <t>Exh. KTW-7</t>
  </si>
  <si>
    <t>Page 7</t>
  </si>
  <si>
    <t>Reduction of Deferred Taxes - Rate Base (half of three year amortization)</t>
  </si>
  <si>
    <t>Page 8</t>
  </si>
  <si>
    <t>Proposed Plant Related Excess Deferred Income Tax Amortization</t>
  </si>
  <si>
    <t>Total Annual Excess Deferred Income Tax Amortization</t>
  </si>
  <si>
    <t>End of Period Rate Base Adjustment</t>
  </si>
  <si>
    <t>End of Period Depreciation Expense Adjustment</t>
  </si>
  <si>
    <t>Page 9</t>
  </si>
  <si>
    <t>13 mo. AMA of Test Year</t>
  </si>
  <si>
    <t>End of Period September 30, 2020</t>
  </si>
  <si>
    <t>Aid in Advance of Construction</t>
  </si>
  <si>
    <t>Utility Plant in Service</t>
  </si>
  <si>
    <t>Accumulated Deferred Income Taxes</t>
  </si>
  <si>
    <t>Page 10</t>
  </si>
  <si>
    <t>Line No.</t>
  </si>
  <si>
    <t>Exh. KTW-8</t>
  </si>
  <si>
    <t>Test Year Results</t>
  </si>
  <si>
    <t>Page 3</t>
  </si>
  <si>
    <t>Page 5</t>
  </si>
  <si>
    <t>Page 6</t>
  </si>
  <si>
    <t>Page 11</t>
  </si>
  <si>
    <t>Page 12</t>
  </si>
  <si>
    <t>Page 13</t>
  </si>
  <si>
    <t>a</t>
  </si>
  <si>
    <t>b</t>
  </si>
  <si>
    <t>c</t>
  </si>
  <si>
    <t>e</t>
  </si>
  <si>
    <t>d=(a+b+c)/3</t>
  </si>
  <si>
    <t>f=d-e</t>
  </si>
  <si>
    <t>Save for</t>
  </si>
  <si>
    <t>Future Use</t>
  </si>
  <si>
    <t>Addition to Rate Base (Net Book Value)</t>
  </si>
  <si>
    <t>Addition to Depreciation Expense 1/</t>
  </si>
  <si>
    <t>1/ Year 2 amount is net of depreciation expense savings from retirement of current SAP application</t>
  </si>
  <si>
    <t>EOP</t>
  </si>
  <si>
    <t>Depreciation Exp.</t>
  </si>
  <si>
    <t>(w)</t>
  </si>
  <si>
    <t>(x)</t>
  </si>
  <si>
    <t>Exh. KTW-9</t>
  </si>
  <si>
    <t>Test Year Payroll (TTM 09/30/20)</t>
  </si>
  <si>
    <t>Exh. TFD-2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</si>
</sst>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0.000%"/>
    <numFmt numFmtId="165" formatCode="0.0000%"/>
    <numFmt numFmtId="166" formatCode="0.0%"/>
    <numFmt numFmtId="167" formatCode="&quot;$&quot;#,##0.0_);\(&quot;$&quot;#,##0.0\)"/>
    <numFmt numFmtId="168" formatCode="#,##0.0"/>
    <numFmt numFmtId="169" formatCode="General_)"/>
    <numFmt numFmtId="170" formatCode="_(* #,##0_);_(* \(#,##0\);_(* &quot;-&quot;??_);_(@_)"/>
    <numFmt numFmtId="171" formatCode="&quot;$&quot;#,##0.00000_);\(&quot;$&quot;#,##0.00000\)"/>
    <numFmt numFmtId="172" formatCode="#,##0.0_);\(#,##0.0\)"/>
    <numFmt numFmtId="173" formatCode="#,##0.00000"/>
    <numFmt numFmtId="174" formatCode="0.00000"/>
    <numFmt numFmtId="175" formatCode="0_);\(0\)"/>
    <numFmt numFmtId="176" formatCode="#,##0.0000"/>
    <numFmt numFmtId="177" formatCode="#,##0.000000"/>
    <numFmt numFmtId="178" formatCode="m/d/yyyy;@"/>
    <numFmt numFmtId="179" formatCode="[$-409]mmm\-yy;@"/>
    <numFmt numFmtId="180" formatCode="&quot;$&quot;#,##0.000_);\(&quot;$&quot;#,##0.000\)"/>
    <numFmt numFmtId="181" formatCode="&quot;$&quot;#,##0"/>
    <numFmt numFmtId="182" formatCode="_(&quot;$&quot;* #,##0_);_(&quot;$&quot;* \(#,##0\);_(&quot;$&quot;* &quot;-&quot;??_);_(@_)"/>
    <numFmt numFmtId="184" formatCode="#,##0.0000000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u/>
      <sz val="10"/>
      <color theme="10"/>
      <name val="Arial"/>
      <family val="2"/>
    </font>
    <font>
      <u/>
      <sz val="9"/>
      <color theme="10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Arial"/>
      <family val="2"/>
    </font>
    <font>
      <sz val="9"/>
      <name val="Calibri"/>
      <family val="2"/>
      <scheme val="minor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/>
      <right/>
      <top style="double">
        <color indexed="2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7">
    <xf numFmtId="0" fontId="0" fillId="0" borderId="0">
      <alignment vertical="top"/>
    </xf>
    <xf numFmtId="0" fontId="4" fillId="0" borderId="0">
      <alignment vertical="top"/>
    </xf>
    <xf numFmtId="4" fontId="7" fillId="0" borderId="0" applyFont="0" applyFill="0" applyBorder="0" applyAlignment="0" applyProtection="0">
      <alignment vertical="top"/>
    </xf>
    <xf numFmtId="3" fontId="7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7" fontId="7" fillId="0" borderId="0" applyFont="0" applyFill="0" applyBorder="0" applyAlignment="0" applyProtection="0">
      <alignment vertical="top"/>
    </xf>
    <xf numFmtId="5" fontId="4" fillId="0" borderId="0">
      <alignment vertical="top"/>
    </xf>
    <xf numFmtId="5" fontId="4" fillId="0" borderId="0">
      <alignment vertical="top"/>
    </xf>
    <xf numFmtId="5" fontId="7" fillId="0" borderId="0" applyFont="0" applyFill="0" applyBorder="0" applyAlignment="0" applyProtection="0">
      <alignment vertical="top"/>
    </xf>
    <xf numFmtId="0" fontId="4" fillId="0" borderId="0">
      <alignment vertical="top"/>
    </xf>
    <xf numFmtId="0" fontId="7" fillId="0" borderId="0" applyFont="0" applyFill="0" applyBorder="0" applyAlignment="0" applyProtection="0">
      <alignment vertical="top"/>
    </xf>
    <xf numFmtId="2" fontId="4" fillId="0" borderId="0" applyFont="0" applyFill="0" applyBorder="0" applyAlignment="0" applyProtection="0">
      <alignment vertical="top"/>
    </xf>
    <xf numFmtId="0" fontId="2" fillId="0" borderId="0" applyNumberFormat="0" applyFill="0" applyBorder="0" applyAlignment="0" applyProtection="0">
      <alignment vertical="top"/>
    </xf>
    <xf numFmtId="0" fontId="3" fillId="0" borderId="0" applyNumberFormat="0" applyFill="0" applyBorder="0" applyAlignment="0" applyProtection="0">
      <alignment vertical="top"/>
    </xf>
    <xf numFmtId="0" fontId="4" fillId="0" borderId="0">
      <alignment horizontal="right" vertical="top"/>
    </xf>
    <xf numFmtId="0" fontId="3" fillId="0" borderId="0">
      <alignment vertical="top"/>
    </xf>
    <xf numFmtId="0" fontId="6" fillId="0" borderId="0"/>
    <xf numFmtId="0" fontId="4" fillId="0" borderId="0">
      <alignment vertical="top"/>
    </xf>
    <xf numFmtId="3" fontId="3" fillId="0" borderId="1">
      <alignment vertical="top"/>
    </xf>
    <xf numFmtId="10" fontId="7" fillId="0" borderId="0" applyFont="0" applyFill="0" applyBorder="0" applyAlignment="0" applyProtection="0">
      <alignment vertical="top"/>
    </xf>
    <xf numFmtId="10" fontId="7" fillId="0" borderId="0" applyFont="0" applyFill="0" applyBorder="0" applyAlignment="0" applyProtection="0">
      <alignment vertical="top"/>
    </xf>
    <xf numFmtId="0" fontId="4" fillId="0" borderId="0" applyFont="0" applyFill="0" applyBorder="0" applyAlignment="0" applyProtection="0">
      <alignment vertical="top"/>
    </xf>
    <xf numFmtId="0" fontId="4" fillId="0" borderId="2" applyNumberFormat="0" applyFont="0" applyFill="0" applyAlignment="0" applyProtection="0">
      <alignment vertical="top"/>
    </xf>
    <xf numFmtId="0" fontId="4" fillId="0" borderId="0"/>
    <xf numFmtId="0" fontId="4" fillId="0" borderId="0"/>
    <xf numFmtId="43" fontId="6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</xf>
  </cellStyleXfs>
  <cellXfs count="453">
    <xf numFmtId="3" fontId="0" fillId="0" borderId="0" xfId="0" applyNumberFormat="1">
      <alignment vertical="top"/>
    </xf>
    <xf numFmtId="3" fontId="9" fillId="3" borderId="0" xfId="0" applyNumberFormat="1" applyFont="1" applyFill="1">
      <alignment vertical="top"/>
    </xf>
    <xf numFmtId="0" fontId="9" fillId="3" borderId="0" xfId="0" applyNumberFormat="1" applyFont="1" applyFill="1">
      <alignment vertical="top"/>
    </xf>
    <xf numFmtId="3" fontId="9" fillId="3" borderId="0" xfId="0" quotePrefix="1" applyNumberFormat="1" applyFont="1" applyFill="1" applyAlignment="1">
      <alignment horizontal="left" vertical="top"/>
    </xf>
    <xf numFmtId="18" fontId="9" fillId="3" borderId="0" xfId="0" applyNumberFormat="1" applyFont="1" applyFill="1">
      <alignment vertical="top"/>
    </xf>
    <xf numFmtId="3" fontId="9" fillId="3" borderId="0" xfId="0" applyNumberFormat="1" applyFont="1" applyFill="1" applyAlignment="1">
      <alignment horizontal="center" vertical="top"/>
    </xf>
    <xf numFmtId="10" fontId="9" fillId="3" borderId="0" xfId="0" applyNumberFormat="1" applyFont="1" applyFill="1" applyAlignment="1">
      <alignment horizontal="center" vertical="top"/>
    </xf>
    <xf numFmtId="3" fontId="9" fillId="3" borderId="3" xfId="0" applyNumberFormat="1" applyFont="1" applyFill="1" applyBorder="1" applyAlignment="1">
      <alignment horizontal="center" vertical="top"/>
    </xf>
    <xf numFmtId="3" fontId="10" fillId="3" borderId="0" xfId="0" applyNumberFormat="1" applyFont="1" applyFill="1">
      <alignment vertical="top"/>
    </xf>
    <xf numFmtId="10" fontId="10" fillId="3" borderId="0" xfId="19" applyFont="1" applyFill="1">
      <alignment vertical="top"/>
    </xf>
    <xf numFmtId="3" fontId="10" fillId="3" borderId="0" xfId="0" applyNumberFormat="1" applyFont="1" applyFill="1" applyProtection="1">
      <alignment vertical="top"/>
      <protection locked="0"/>
    </xf>
    <xf numFmtId="5" fontId="10" fillId="3" borderId="0" xfId="0" applyNumberFormat="1" applyFont="1" applyFill="1">
      <alignment vertical="top"/>
    </xf>
    <xf numFmtId="164" fontId="10" fillId="3" borderId="0" xfId="19" applyNumberFormat="1" applyFont="1" applyFill="1">
      <alignment vertical="top"/>
    </xf>
    <xf numFmtId="37" fontId="10" fillId="3" borderId="0" xfId="2" applyNumberFormat="1" applyFont="1" applyFill="1">
      <alignment vertical="top"/>
    </xf>
    <xf numFmtId="37" fontId="10" fillId="3" borderId="0" xfId="3" applyNumberFormat="1" applyFont="1" applyFill="1">
      <alignment vertical="top"/>
    </xf>
    <xf numFmtId="37" fontId="10" fillId="3" borderId="3" xfId="2" applyNumberFormat="1" applyFont="1" applyFill="1" applyBorder="1">
      <alignment vertical="top"/>
    </xf>
    <xf numFmtId="37" fontId="10" fillId="3" borderId="3" xfId="3" applyNumberFormat="1" applyFont="1" applyFill="1" applyBorder="1">
      <alignment vertical="top"/>
    </xf>
    <xf numFmtId="5" fontId="9" fillId="3" borderId="0" xfId="0" applyNumberFormat="1" applyFont="1" applyFill="1">
      <alignment vertical="top"/>
    </xf>
    <xf numFmtId="5" fontId="10" fillId="3" borderId="4" xfId="8" applyFont="1" applyFill="1" applyBorder="1">
      <alignment vertical="top"/>
    </xf>
    <xf numFmtId="5" fontId="10" fillId="3" borderId="0" xfId="8" applyFont="1" applyFill="1">
      <alignment vertical="top"/>
    </xf>
    <xf numFmtId="3" fontId="10" fillId="3" borderId="0" xfId="0" applyNumberFormat="1" applyFont="1" applyFill="1" applyBorder="1">
      <alignment vertical="top"/>
    </xf>
    <xf numFmtId="10" fontId="10" fillId="3" borderId="4" xfId="0" applyNumberFormat="1" applyFont="1" applyFill="1" applyBorder="1">
      <alignment vertical="top"/>
    </xf>
    <xf numFmtId="10" fontId="10" fillId="3" borderId="0" xfId="0" applyNumberFormat="1" applyFont="1" applyFill="1">
      <alignment vertical="top"/>
    </xf>
    <xf numFmtId="3" fontId="10" fillId="3" borderId="3" xfId="0" applyNumberFormat="1" applyFont="1" applyFill="1" applyBorder="1">
      <alignment vertical="top"/>
    </xf>
    <xf numFmtId="0" fontId="10" fillId="3" borderId="0" xfId="0" applyNumberFormat="1" applyFont="1" applyFill="1">
      <alignment vertical="top"/>
    </xf>
    <xf numFmtId="3" fontId="9" fillId="3" borderId="5" xfId="0" applyNumberFormat="1" applyFont="1" applyFill="1" applyBorder="1" applyAlignment="1">
      <alignment horizontal="center" vertical="top"/>
    </xf>
    <xf numFmtId="170" fontId="10" fillId="3" borderId="0" xfId="2" applyNumberFormat="1" applyFont="1" applyFill="1" applyAlignment="1"/>
    <xf numFmtId="37" fontId="10" fillId="3" borderId="0" xfId="0" applyNumberFormat="1" applyFont="1" applyFill="1">
      <alignment vertical="top"/>
    </xf>
    <xf numFmtId="37" fontId="10" fillId="3" borderId="0" xfId="0" applyNumberFormat="1" applyFont="1" applyFill="1" applyBorder="1">
      <alignment vertical="top"/>
    </xf>
    <xf numFmtId="3" fontId="13" fillId="3" borderId="0" xfId="0" applyNumberFormat="1" applyFont="1" applyFill="1">
      <alignment vertical="top"/>
    </xf>
    <xf numFmtId="5" fontId="10" fillId="3" borderId="4" xfId="8" applyNumberFormat="1" applyFont="1" applyFill="1" applyBorder="1">
      <alignment vertical="top"/>
    </xf>
    <xf numFmtId="5" fontId="10" fillId="3" borderId="0" xfId="0" applyNumberFormat="1" applyFont="1" applyFill="1" applyBorder="1">
      <alignment vertical="top"/>
    </xf>
    <xf numFmtId="10" fontId="10" fillId="3" borderId="0" xfId="19" applyNumberFormat="1" applyFont="1" applyFill="1">
      <alignment vertical="top"/>
    </xf>
    <xf numFmtId="5" fontId="10" fillId="3" borderId="0" xfId="8" applyNumberFormat="1" applyFont="1" applyFill="1">
      <alignment vertical="top"/>
    </xf>
    <xf numFmtId="3" fontId="9" fillId="3" borderId="0" xfId="0" applyNumberFormat="1" applyFont="1" applyFill="1" applyAlignment="1">
      <alignment vertical="center"/>
    </xf>
    <xf numFmtId="3" fontId="10" fillId="3" borderId="0" xfId="0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horizontal="center" vertical="center"/>
    </xf>
    <xf numFmtId="178" fontId="10" fillId="3" borderId="0" xfId="0" applyNumberFormat="1" applyFont="1" applyFill="1" applyBorder="1">
      <alignment vertical="top"/>
    </xf>
    <xf numFmtId="3" fontId="9" fillId="3" borderId="3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Alignment="1">
      <alignment horizontal="left" vertical="center"/>
    </xf>
    <xf numFmtId="37" fontId="10" fillId="3" borderId="0" xfId="0" applyNumberFormat="1" applyFont="1" applyFill="1" applyAlignment="1">
      <alignment vertical="center"/>
    </xf>
    <xf numFmtId="37" fontId="10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>
      <alignment vertical="top"/>
    </xf>
    <xf numFmtId="10" fontId="10" fillId="3" borderId="0" xfId="19" applyFont="1" applyFill="1" applyBorder="1">
      <alignment vertical="top"/>
    </xf>
    <xf numFmtId="0" fontId="8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37" fontId="10" fillId="3" borderId="3" xfId="0" applyNumberFormat="1" applyFont="1" applyFill="1" applyBorder="1">
      <alignment vertical="top"/>
    </xf>
    <xf numFmtId="3" fontId="17" fillId="3" borderId="0" xfId="0" applyNumberFormat="1" applyFont="1" applyFill="1">
      <alignment vertical="top"/>
    </xf>
    <xf numFmtId="164" fontId="10" fillId="3" borderId="0" xfId="0" applyNumberFormat="1" applyFont="1" applyFill="1">
      <alignment vertical="top"/>
    </xf>
    <xf numFmtId="3" fontId="10" fillId="3" borderId="0" xfId="0" quotePrefix="1" applyNumberFormat="1" applyFont="1" applyFill="1" applyAlignment="1">
      <alignment horizontal="left" vertical="top"/>
    </xf>
    <xf numFmtId="37" fontId="10" fillId="3" borderId="0" xfId="3" quotePrefix="1" applyNumberFormat="1" applyFont="1" applyFill="1" applyAlignment="1">
      <alignment horizontal="left" vertical="top"/>
    </xf>
    <xf numFmtId="5" fontId="10" fillId="3" borderId="0" xfId="5" applyNumberFormat="1" applyFont="1" applyFill="1">
      <alignment vertical="top"/>
    </xf>
    <xf numFmtId="10" fontId="10" fillId="3" borderId="3" xfId="19" applyFont="1" applyFill="1" applyBorder="1">
      <alignment vertical="top"/>
    </xf>
    <xf numFmtId="5" fontId="10" fillId="3" borderId="4" xfId="0" applyNumberFormat="1" applyFont="1" applyFill="1" applyBorder="1">
      <alignment vertical="top"/>
    </xf>
    <xf numFmtId="10" fontId="13" fillId="3" borderId="0" xfId="19" applyFont="1" applyFill="1">
      <alignment vertical="top"/>
    </xf>
    <xf numFmtId="37" fontId="10" fillId="3" borderId="0" xfId="19" applyNumberFormat="1" applyFont="1" applyFill="1">
      <alignment vertical="top"/>
    </xf>
    <xf numFmtId="5" fontId="10" fillId="3" borderId="0" xfId="8" applyNumberFormat="1" applyFont="1" applyFill="1" applyBorder="1">
      <alignment vertical="top"/>
    </xf>
    <xf numFmtId="3" fontId="14" fillId="3" borderId="0" xfId="0" applyNumberFormat="1" applyFont="1" applyFill="1">
      <alignment vertical="top"/>
    </xf>
    <xf numFmtId="0" fontId="9" fillId="3" borderId="0" xfId="0" applyFont="1" applyFill="1" applyAlignment="1">
      <alignment horizontal="center" vertical="top"/>
    </xf>
    <xf numFmtId="0" fontId="9" fillId="3" borderId="0" xfId="0" applyNumberFormat="1" applyFont="1" applyFill="1" applyBorder="1" applyAlignment="1" applyProtection="1">
      <alignment vertical="top"/>
    </xf>
    <xf numFmtId="0" fontId="10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left" vertical="top"/>
    </xf>
    <xf numFmtId="176" fontId="10" fillId="3" borderId="0" xfId="0" applyNumberFormat="1" applyFont="1" applyFill="1">
      <alignment vertical="top"/>
    </xf>
    <xf numFmtId="173" fontId="10" fillId="3" borderId="0" xfId="0" applyNumberFormat="1" applyFont="1" applyFill="1">
      <alignment vertical="top"/>
    </xf>
    <xf numFmtId="0" fontId="9" fillId="3" borderId="0" xfId="0" applyFont="1" applyFill="1">
      <alignment vertical="top"/>
    </xf>
    <xf numFmtId="10" fontId="9" fillId="3" borderId="0" xfId="0" applyNumberFormat="1" applyFont="1" applyFill="1">
      <alignment vertical="top"/>
    </xf>
    <xf numFmtId="3" fontId="9" fillId="3" borderId="3" xfId="0" applyNumberFormat="1" applyFont="1" applyFill="1" applyBorder="1">
      <alignment vertical="top"/>
    </xf>
    <xf numFmtId="3" fontId="10" fillId="3" borderId="0" xfId="0" applyNumberFormat="1" applyFont="1" applyFill="1" applyAlignment="1">
      <alignment horizontal="center" vertical="top"/>
    </xf>
    <xf numFmtId="165" fontId="10" fillId="3" borderId="0" xfId="19" applyNumberFormat="1" applyFont="1" applyFill="1">
      <alignment vertical="top"/>
    </xf>
    <xf numFmtId="164" fontId="10" fillId="3" borderId="3" xfId="19" applyNumberFormat="1" applyFont="1" applyFill="1" applyBorder="1">
      <alignment vertical="top"/>
    </xf>
    <xf numFmtId="10" fontId="10" fillId="3" borderId="4" xfId="19" applyFont="1" applyFill="1" applyBorder="1">
      <alignment vertical="top"/>
    </xf>
    <xf numFmtId="164" fontId="10" fillId="3" borderId="4" xfId="19" applyNumberFormat="1" applyFont="1" applyFill="1" applyBorder="1">
      <alignment vertical="top"/>
    </xf>
    <xf numFmtId="164" fontId="10" fillId="3" borderId="3" xfId="0" applyNumberFormat="1" applyFont="1" applyFill="1" applyBorder="1">
      <alignment vertical="top"/>
    </xf>
    <xf numFmtId="164" fontId="10" fillId="3" borderId="4" xfId="0" applyNumberFormat="1" applyFont="1" applyFill="1" applyBorder="1">
      <alignment vertical="top"/>
    </xf>
    <xf numFmtId="3" fontId="0" fillId="3" borderId="0" xfId="0" applyNumberFormat="1" applyFill="1">
      <alignment vertical="top"/>
    </xf>
    <xf numFmtId="3" fontId="9" fillId="3" borderId="11" xfId="0" applyNumberFormat="1" applyFont="1" applyFill="1" applyBorder="1" applyAlignment="1">
      <alignment horizontal="center" vertical="top"/>
    </xf>
    <xf numFmtId="3" fontId="9" fillId="3" borderId="6" xfId="0" applyNumberFormat="1" applyFont="1" applyFill="1" applyBorder="1" applyAlignment="1">
      <alignment horizontal="center" vertical="top"/>
    </xf>
    <xf numFmtId="3" fontId="9" fillId="3" borderId="12" xfId="0" applyNumberFormat="1" applyFont="1" applyFill="1" applyBorder="1" applyAlignment="1">
      <alignment horizontal="center" vertical="top"/>
    </xf>
    <xf numFmtId="3" fontId="9" fillId="3" borderId="13" xfId="0" applyNumberFormat="1" applyFont="1" applyFill="1" applyBorder="1" applyAlignment="1">
      <alignment horizontal="center" vertical="top"/>
    </xf>
    <xf numFmtId="3" fontId="9" fillId="3" borderId="14" xfId="0" applyNumberFormat="1" applyFont="1" applyFill="1" applyBorder="1" applyAlignment="1">
      <alignment horizontal="center" vertical="top"/>
    </xf>
    <xf numFmtId="3" fontId="10" fillId="3" borderId="13" xfId="0" applyNumberFormat="1" applyFont="1" applyFill="1" applyBorder="1">
      <alignment vertical="top"/>
    </xf>
    <xf numFmtId="5" fontId="10" fillId="3" borderId="13" xfId="0" applyNumberFormat="1" applyFont="1" applyFill="1" applyBorder="1">
      <alignment vertical="top"/>
    </xf>
    <xf numFmtId="37" fontId="10" fillId="3" borderId="13" xfId="0" applyNumberFormat="1" applyFont="1" applyFill="1" applyBorder="1">
      <alignment vertical="top"/>
    </xf>
    <xf numFmtId="37" fontId="10" fillId="3" borderId="14" xfId="0" applyNumberFormat="1" applyFont="1" applyFill="1" applyBorder="1">
      <alignment vertical="top"/>
    </xf>
    <xf numFmtId="37" fontId="10" fillId="3" borderId="4" xfId="0" applyNumberFormat="1" applyFont="1" applyFill="1" applyBorder="1">
      <alignment vertical="top"/>
    </xf>
    <xf numFmtId="37" fontId="10" fillId="3" borderId="15" xfId="0" applyNumberFormat="1" applyFont="1" applyFill="1" applyBorder="1">
      <alignment vertical="top"/>
    </xf>
    <xf numFmtId="37" fontId="10" fillId="3" borderId="12" xfId="0" applyNumberFormat="1" applyFont="1" applyFill="1" applyBorder="1">
      <alignment vertical="top"/>
    </xf>
    <xf numFmtId="15" fontId="9" fillId="3" borderId="0" xfId="0" applyNumberFormat="1" applyFont="1" applyFill="1">
      <alignment vertical="top"/>
    </xf>
    <xf numFmtId="37" fontId="9" fillId="3" borderId="0" xfId="0" applyNumberFormat="1" applyFont="1" applyFill="1">
      <alignment vertical="top"/>
    </xf>
    <xf numFmtId="0" fontId="9" fillId="3" borderId="0" xfId="17" applyFont="1" applyFill="1" applyAlignment="1">
      <alignment vertical="center"/>
    </xf>
    <xf numFmtId="0" fontId="9" fillId="3" borderId="0" xfId="0" applyNumberFormat="1" applyFont="1" applyFill="1" applyBorder="1" applyAlignment="1" applyProtection="1">
      <alignment vertical="center"/>
    </xf>
    <xf numFmtId="0" fontId="10" fillId="3" borderId="0" xfId="17" applyFont="1" applyFill="1" applyAlignment="1">
      <alignment vertical="center"/>
    </xf>
    <xf numFmtId="0" fontId="9" fillId="3" borderId="0" xfId="17" quotePrefix="1" applyFont="1" applyFill="1" applyAlignment="1">
      <alignment horizontal="center" vertical="center"/>
    </xf>
    <xf numFmtId="3" fontId="9" fillId="3" borderId="0" xfId="17" quotePrefix="1" applyNumberFormat="1" applyFont="1" applyFill="1" applyAlignment="1">
      <alignment horizontal="left" vertical="center"/>
    </xf>
    <xf numFmtId="1" fontId="9" fillId="3" borderId="0" xfId="0" applyNumberFormat="1" applyFont="1" applyFill="1" applyAlignment="1">
      <alignment horizontal="left" vertical="center"/>
    </xf>
    <xf numFmtId="1" fontId="9" fillId="3" borderId="0" xfId="0" applyNumberFormat="1" applyFont="1" applyFill="1" applyAlignment="1">
      <alignment horizontal="center" vertical="center"/>
    </xf>
    <xf numFmtId="0" fontId="9" fillId="3" borderId="3" xfId="0" applyFont="1" applyFill="1" applyBorder="1" applyAlignment="1">
      <alignment vertical="center"/>
    </xf>
    <xf numFmtId="0" fontId="9" fillId="3" borderId="3" xfId="0" applyNumberFormat="1" applyFont="1" applyFill="1" applyBorder="1" applyAlignment="1" applyProtection="1">
      <alignment vertical="center"/>
    </xf>
    <xf numFmtId="1" fontId="9" fillId="3" borderId="3" xfId="0" quotePrefix="1" applyNumberFormat="1" applyFont="1" applyFill="1" applyBorder="1" applyAlignment="1">
      <alignment horizontal="center" vertical="center"/>
    </xf>
    <xf numFmtId="173" fontId="9" fillId="3" borderId="3" xfId="2" applyNumberFormat="1" applyFont="1" applyFill="1" applyBorder="1" applyAlignment="1">
      <alignment horizontal="center" vertical="center"/>
    </xf>
    <xf numFmtId="1" fontId="9" fillId="3" borderId="3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0" fontId="9" fillId="3" borderId="3" xfId="0" quotePrefix="1" applyNumberFormat="1" applyFont="1" applyFill="1" applyBorder="1" applyAlignment="1" applyProtection="1">
      <alignment horizontal="left" vertical="center"/>
    </xf>
    <xf numFmtId="0" fontId="9" fillId="3" borderId="0" xfId="0" quotePrefix="1" applyNumberFormat="1" applyFont="1" applyFill="1" applyBorder="1" applyAlignment="1" applyProtection="1">
      <alignment horizontal="left" vertical="center"/>
    </xf>
    <xf numFmtId="0" fontId="9" fillId="3" borderId="0" xfId="0" applyFont="1" applyFill="1" applyAlignment="1">
      <alignment horizontal="center" vertical="center"/>
    </xf>
    <xf numFmtId="37" fontId="10" fillId="3" borderId="0" xfId="0" applyNumberFormat="1" applyFont="1" applyFill="1" applyBorder="1" applyAlignment="1">
      <alignment vertical="top"/>
    </xf>
    <xf numFmtId="173" fontId="10" fillId="3" borderId="0" xfId="2" applyNumberFormat="1" applyFont="1" applyFill="1" applyAlignment="1">
      <alignment horizontal="center" vertical="top"/>
    </xf>
    <xf numFmtId="5" fontId="10" fillId="3" borderId="0" xfId="0" applyNumberFormat="1" applyFont="1" applyFill="1" applyBorder="1" applyAlignment="1">
      <alignment vertical="top"/>
    </xf>
    <xf numFmtId="173" fontId="10" fillId="3" borderId="0" xfId="2" applyNumberFormat="1" applyFont="1" applyFill="1" applyAlignment="1">
      <alignment horizontal="center" vertical="center"/>
    </xf>
    <xf numFmtId="5" fontId="10" fillId="3" borderId="0" xfId="0" applyNumberFormat="1" applyFont="1" applyFill="1" applyBorder="1" applyAlignment="1">
      <alignment vertical="center"/>
    </xf>
    <xf numFmtId="37" fontId="10" fillId="3" borderId="3" xfId="0" applyNumberFormat="1" applyFont="1" applyFill="1" applyBorder="1" applyAlignment="1">
      <alignment vertical="top"/>
    </xf>
    <xf numFmtId="5" fontId="10" fillId="3" borderId="3" xfId="0" applyNumberFormat="1" applyFont="1" applyFill="1" applyBorder="1" applyAlignment="1">
      <alignment vertical="top"/>
    </xf>
    <xf numFmtId="37" fontId="10" fillId="3" borderId="3" xfId="0" applyNumberFormat="1" applyFont="1" applyFill="1" applyBorder="1" applyAlignment="1">
      <alignment vertical="center"/>
    </xf>
    <xf numFmtId="5" fontId="10" fillId="3" borderId="3" xfId="0" applyNumberFormat="1" applyFont="1" applyFill="1" applyBorder="1" applyAlignment="1">
      <alignment vertical="center"/>
    </xf>
    <xf numFmtId="1" fontId="9" fillId="3" borderId="0" xfId="0" applyNumberFormat="1" applyFont="1" applyFill="1" applyBorder="1" applyAlignment="1">
      <alignment vertical="center"/>
    </xf>
    <xf numFmtId="173" fontId="10" fillId="3" borderId="0" xfId="2" applyNumberFormat="1" applyFont="1" applyFill="1" applyBorder="1" applyAlignment="1">
      <alignment horizontal="center" vertical="top"/>
    </xf>
    <xf numFmtId="173" fontId="10" fillId="3" borderId="0" xfId="2" applyNumberFormat="1" applyFont="1" applyFill="1" applyBorder="1" applyAlignment="1">
      <alignment horizontal="center" vertical="center"/>
    </xf>
    <xf numFmtId="1" fontId="9" fillId="3" borderId="0" xfId="0" quotePrefix="1" applyNumberFormat="1" applyFont="1" applyFill="1" applyAlignment="1">
      <alignment horizontal="left" vertical="center"/>
    </xf>
    <xf numFmtId="37" fontId="10" fillId="3" borderId="0" xfId="0" applyNumberFormat="1" applyFont="1" applyFill="1" applyAlignment="1">
      <alignment vertical="top"/>
    </xf>
    <xf numFmtId="5" fontId="10" fillId="3" borderId="0" xfId="0" applyNumberFormat="1" applyFont="1" applyFill="1" applyAlignment="1">
      <alignment vertical="top"/>
    </xf>
    <xf numFmtId="5" fontId="10" fillId="3" borderId="0" xfId="0" applyNumberFormat="1" applyFont="1" applyFill="1" applyAlignment="1">
      <alignment vertical="center"/>
    </xf>
    <xf numFmtId="1" fontId="9" fillId="3" borderId="0" xfId="0" applyNumberFormat="1" applyFont="1" applyFill="1" applyAlignment="1">
      <alignment vertical="center"/>
    </xf>
    <xf numFmtId="173" fontId="10" fillId="3" borderId="0" xfId="2" applyNumberFormat="1" applyFont="1" applyFill="1" applyBorder="1" applyAlignment="1" applyProtection="1">
      <alignment horizontal="center" vertical="center"/>
    </xf>
    <xf numFmtId="5" fontId="10" fillId="3" borderId="0" xfId="0" applyNumberFormat="1" applyFont="1" applyFill="1" applyBorder="1" applyAlignment="1" applyProtection="1">
      <alignment vertical="center"/>
    </xf>
    <xf numFmtId="169" fontId="9" fillId="3" borderId="0" xfId="0" applyNumberFormat="1" applyFont="1" applyFill="1" applyAlignment="1" applyProtection="1">
      <alignment horizontal="left" vertical="center"/>
    </xf>
    <xf numFmtId="37" fontId="10" fillId="3" borderId="0" xfId="0" applyNumberFormat="1" applyFont="1" applyFill="1" applyAlignment="1" applyProtection="1">
      <alignment vertical="center"/>
    </xf>
    <xf numFmtId="1" fontId="9" fillId="3" borderId="3" xfId="0" quotePrefix="1" applyNumberFormat="1" applyFont="1" applyFill="1" applyBorder="1" applyAlignment="1">
      <alignment horizontal="left" vertical="center"/>
    </xf>
    <xf numFmtId="5" fontId="9" fillId="3" borderId="0" xfId="0" applyNumberFormat="1" applyFont="1" applyFill="1" applyAlignment="1">
      <alignment vertical="center"/>
    </xf>
    <xf numFmtId="1" fontId="9" fillId="3" borderId="0" xfId="0" quotePrefix="1" applyNumberFormat="1" applyFont="1" applyFill="1" applyBorder="1" applyAlignment="1">
      <alignment horizontal="left" vertical="center"/>
    </xf>
    <xf numFmtId="5" fontId="10" fillId="3" borderId="0" xfId="5" applyNumberFormat="1" applyFont="1" applyFill="1" applyBorder="1" applyAlignment="1">
      <alignment vertical="center"/>
    </xf>
    <xf numFmtId="37" fontId="10" fillId="3" borderId="8" xfId="0" applyNumberFormat="1" applyFont="1" applyFill="1" applyBorder="1" applyAlignment="1" applyProtection="1">
      <alignment vertical="center"/>
    </xf>
    <xf numFmtId="5" fontId="10" fillId="3" borderId="8" xfId="0" applyNumberFormat="1" applyFont="1" applyFill="1" applyBorder="1" applyAlignment="1" applyProtection="1">
      <alignment vertical="center"/>
    </xf>
    <xf numFmtId="0" fontId="9" fillId="3" borderId="0" xfId="0" quotePrefix="1" applyFont="1" applyFill="1" applyAlignment="1">
      <alignment horizontal="left" vertical="center"/>
    </xf>
    <xf numFmtId="37" fontId="10" fillId="3" borderId="4" xfId="0" applyNumberFormat="1" applyFont="1" applyFill="1" applyBorder="1" applyAlignment="1">
      <alignment vertical="center"/>
    </xf>
    <xf numFmtId="5" fontId="10" fillId="3" borderId="4" xfId="5" applyNumberFormat="1" applyFont="1" applyFill="1" applyBorder="1" applyAlignment="1">
      <alignment vertical="center"/>
    </xf>
    <xf numFmtId="1" fontId="9" fillId="3" borderId="3" xfId="0" applyNumberFormat="1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5" fontId="10" fillId="3" borderId="0" xfId="0" applyNumberFormat="1" applyFont="1" applyFill="1" applyBorder="1" applyAlignment="1" applyProtection="1">
      <alignment horizontal="center" vertical="center"/>
    </xf>
    <xf numFmtId="5" fontId="10" fillId="3" borderId="0" xfId="5" applyNumberFormat="1" applyFont="1" applyFill="1" applyBorder="1" applyAlignment="1" applyProtection="1">
      <alignment horizontal="right" vertical="center"/>
    </xf>
    <xf numFmtId="1" fontId="9" fillId="3" borderId="0" xfId="0" applyNumberFormat="1" applyFont="1" applyFill="1" applyBorder="1" applyAlignment="1">
      <alignment horizontal="left" vertical="center"/>
    </xf>
    <xf numFmtId="37" fontId="10" fillId="3" borderId="0" xfId="0" applyNumberFormat="1" applyFont="1" applyFill="1" applyBorder="1" applyAlignment="1" applyProtection="1">
      <alignment horizontal="center" vertical="center"/>
    </xf>
    <xf numFmtId="0" fontId="10" fillId="3" borderId="0" xfId="0" applyFont="1" applyFill="1" applyAlignment="1">
      <alignment horizontal="center" vertical="center"/>
    </xf>
    <xf numFmtId="5" fontId="10" fillId="3" borderId="0" xfId="5" applyNumberFormat="1" applyFont="1" applyFill="1" applyAlignment="1" applyProtection="1">
      <alignment horizontal="center" vertical="center"/>
    </xf>
    <xf numFmtId="0" fontId="9" fillId="3" borderId="0" xfId="0" applyNumberFormat="1" applyFont="1" applyFill="1" applyAlignment="1">
      <alignment horizontal="center" vertical="top"/>
    </xf>
    <xf numFmtId="4" fontId="9" fillId="3" borderId="0" xfId="0" applyNumberFormat="1" applyFont="1" applyFill="1" applyAlignment="1">
      <alignment horizontal="center" vertical="top"/>
    </xf>
    <xf numFmtId="3" fontId="9" fillId="3" borderId="0" xfId="0" applyNumberFormat="1" applyFont="1" applyFill="1" applyBorder="1" applyAlignment="1">
      <alignment horizontal="center" vertical="top"/>
    </xf>
    <xf numFmtId="3" fontId="9" fillId="3" borderId="0" xfId="0" applyNumberFormat="1" applyFont="1" applyFill="1" applyAlignment="1">
      <alignment horizontal="left" vertical="top" indent="1"/>
    </xf>
    <xf numFmtId="5" fontId="10" fillId="3" borderId="0" xfId="8" applyNumberFormat="1" applyFont="1" applyFill="1" applyAlignment="1">
      <alignment horizontal="right" vertical="top"/>
    </xf>
    <xf numFmtId="167" fontId="10" fillId="3" borderId="0" xfId="0" applyNumberFormat="1" applyFont="1" applyFill="1">
      <alignment vertical="top"/>
    </xf>
    <xf numFmtId="5" fontId="10" fillId="3" borderId="3" xfId="8" applyNumberFormat="1" applyFont="1" applyFill="1" applyBorder="1" applyAlignment="1">
      <alignment horizontal="right" vertical="top"/>
    </xf>
    <xf numFmtId="167" fontId="10" fillId="3" borderId="0" xfId="0" applyNumberFormat="1" applyFont="1" applyFill="1" applyBorder="1">
      <alignment vertical="top"/>
    </xf>
    <xf numFmtId="172" fontId="10" fillId="3" borderId="0" xfId="0" applyNumberFormat="1" applyFont="1" applyFill="1">
      <alignment vertical="top"/>
    </xf>
    <xf numFmtId="3" fontId="9" fillId="3" borderId="0" xfId="0" applyNumberFormat="1" applyFont="1" applyFill="1" applyAlignment="1">
      <alignment horizontal="left" vertical="top" indent="2"/>
    </xf>
    <xf numFmtId="172" fontId="10" fillId="3" borderId="0" xfId="8" applyNumberFormat="1" applyFont="1" applyFill="1" applyBorder="1" applyAlignment="1">
      <alignment horizontal="right" vertical="top"/>
    </xf>
    <xf numFmtId="5" fontId="10" fillId="3" borderId="0" xfId="8" applyNumberFormat="1" applyFont="1" applyFill="1" applyBorder="1" applyAlignment="1">
      <alignment horizontal="right" vertical="top"/>
    </xf>
    <xf numFmtId="3" fontId="9" fillId="3" borderId="0" xfId="0" applyNumberFormat="1" applyFont="1" applyFill="1" applyAlignment="1">
      <alignment horizontal="left" vertical="top"/>
    </xf>
    <xf numFmtId="172" fontId="10" fillId="3" borderId="0" xfId="8" applyNumberFormat="1" applyFont="1" applyFill="1" applyAlignment="1">
      <alignment horizontal="right" vertical="top"/>
    </xf>
    <xf numFmtId="3" fontId="10" fillId="3" borderId="3" xfId="0" applyNumberFormat="1" applyFont="1" applyFill="1" applyBorder="1" applyAlignment="1">
      <alignment horizontal="center" vertical="top"/>
    </xf>
    <xf numFmtId="37" fontId="10" fillId="3" borderId="0" xfId="2" applyNumberFormat="1" applyFont="1" applyFill="1" applyBorder="1">
      <alignment vertical="top"/>
    </xf>
    <xf numFmtId="5" fontId="10" fillId="3" borderId="4" xfId="8" applyNumberFormat="1" applyFont="1" applyFill="1" applyBorder="1" applyAlignment="1">
      <alignment horizontal="right" vertical="top"/>
    </xf>
    <xf numFmtId="167" fontId="10" fillId="3" borderId="0" xfId="8" applyNumberFormat="1" applyFont="1" applyFill="1" applyBorder="1" applyAlignment="1">
      <alignment horizontal="right" vertical="top"/>
    </xf>
    <xf numFmtId="177" fontId="10" fillId="3" borderId="0" xfId="0" applyNumberFormat="1" applyFont="1" applyFill="1">
      <alignment vertical="top"/>
    </xf>
    <xf numFmtId="3" fontId="10" fillId="3" borderId="6" xfId="0" applyNumberFormat="1" applyFont="1" applyFill="1" applyBorder="1">
      <alignment vertical="top"/>
    </xf>
    <xf numFmtId="10" fontId="10" fillId="3" borderId="3" xfId="19" applyNumberFormat="1" applyFont="1" applyFill="1" applyBorder="1">
      <alignment vertical="top"/>
    </xf>
    <xf numFmtId="3" fontId="9" fillId="3" borderId="0" xfId="0" quotePrefix="1" applyNumberFormat="1" applyFont="1" applyFill="1" applyAlignment="1">
      <alignment horizontal="center" vertical="top"/>
    </xf>
    <xf numFmtId="3" fontId="10" fillId="3" borderId="0" xfId="0" applyNumberFormat="1" applyFont="1" applyFill="1" applyAlignment="1">
      <alignment horizontal="left" vertical="top"/>
    </xf>
    <xf numFmtId="3" fontId="9" fillId="3" borderId="3" xfId="0" quotePrefix="1" applyNumberFormat="1" applyFont="1" applyFill="1" applyBorder="1" applyAlignment="1">
      <alignment horizontal="center" vertical="top"/>
    </xf>
    <xf numFmtId="0" fontId="10" fillId="3" borderId="0" xfId="0" applyFont="1" applyFill="1">
      <alignment vertical="top"/>
    </xf>
    <xf numFmtId="37" fontId="10" fillId="3" borderId="0" xfId="3" applyNumberFormat="1" applyFont="1" applyFill="1" applyBorder="1">
      <alignment vertical="top"/>
    </xf>
    <xf numFmtId="3" fontId="9" fillId="3" borderId="0" xfId="0" quotePrefix="1" applyNumberFormat="1" applyFont="1" applyFill="1" applyBorder="1" applyAlignment="1">
      <alignment horizontal="center" vertical="top"/>
    </xf>
    <xf numFmtId="3" fontId="10" fillId="3" borderId="0" xfId="3" applyFont="1" applyFill="1">
      <alignment vertical="top"/>
    </xf>
    <xf numFmtId="5" fontId="10" fillId="3" borderId="0" xfId="8" applyFont="1" applyFill="1" applyBorder="1">
      <alignment vertical="top"/>
    </xf>
    <xf numFmtId="3" fontId="9" fillId="3" borderId="0" xfId="3" applyFont="1" applyFill="1">
      <alignment vertical="top"/>
    </xf>
    <xf numFmtId="3" fontId="9" fillId="3" borderId="0" xfId="0" quotePrefix="1" applyNumberFormat="1" applyFont="1" applyFill="1" applyAlignment="1">
      <alignment horizontal="center" vertical="center"/>
    </xf>
    <xf numFmtId="3" fontId="10" fillId="3" borderId="0" xfId="0" applyNumberFormat="1" applyFont="1" applyFill="1" applyBorder="1" applyAlignment="1">
      <alignment vertical="center"/>
    </xf>
    <xf numFmtId="10" fontId="10" fillId="3" borderId="0" xfId="0" applyNumberFormat="1" applyFont="1" applyFill="1" applyAlignment="1">
      <alignment vertical="center"/>
    </xf>
    <xf numFmtId="5" fontId="10" fillId="3" borderId="4" xfId="0" applyNumberFormat="1" applyFont="1" applyFill="1" applyBorder="1" applyAlignment="1">
      <alignment vertical="center"/>
    </xf>
    <xf numFmtId="3" fontId="9" fillId="3" borderId="0" xfId="0" applyNumberFormat="1" applyFont="1" applyFill="1" applyAlignment="1">
      <alignment vertical="top"/>
    </xf>
    <xf numFmtId="3" fontId="10" fillId="3" borderId="0" xfId="0" applyNumberFormat="1" applyFont="1" applyFill="1" applyAlignment="1">
      <alignment vertical="top"/>
    </xf>
    <xf numFmtId="1" fontId="9" fillId="3" borderId="0" xfId="0" applyNumberFormat="1" applyFont="1" applyFill="1" applyAlignment="1">
      <alignment horizontal="center" vertical="top"/>
    </xf>
    <xf numFmtId="5" fontId="10" fillId="3" borderId="0" xfId="8" applyFont="1" applyFill="1" applyAlignment="1">
      <alignment horizontal="right" vertical="top"/>
    </xf>
    <xf numFmtId="41" fontId="10" fillId="3" borderId="0" xfId="3" applyNumberFormat="1" applyFont="1" applyFill="1" applyAlignment="1">
      <alignment horizontal="right" vertical="top"/>
    </xf>
    <xf numFmtId="41" fontId="10" fillId="3" borderId="3" xfId="3" applyNumberFormat="1" applyFont="1" applyFill="1" applyBorder="1" applyAlignment="1">
      <alignment horizontal="right" vertical="top"/>
    </xf>
    <xf numFmtId="41" fontId="10" fillId="3" borderId="0" xfId="0" applyNumberFormat="1" applyFont="1" applyFill="1" applyAlignment="1">
      <alignment vertical="top"/>
    </xf>
    <xf numFmtId="37" fontId="10" fillId="3" borderId="3" xfId="3" applyNumberFormat="1" applyFont="1" applyFill="1" applyBorder="1" applyAlignment="1">
      <alignment horizontal="right" vertical="top"/>
    </xf>
    <xf numFmtId="164" fontId="10" fillId="3" borderId="0" xfId="19" applyNumberFormat="1" applyFont="1" applyFill="1" applyAlignment="1">
      <alignment vertical="top"/>
    </xf>
    <xf numFmtId="164" fontId="10" fillId="3" borderId="0" xfId="19" applyNumberFormat="1" applyFont="1" applyFill="1" applyBorder="1" applyAlignment="1">
      <alignment vertical="top"/>
    </xf>
    <xf numFmtId="164" fontId="10" fillId="3" borderId="3" xfId="19" applyNumberFormat="1" applyFont="1" applyFill="1" applyBorder="1" applyAlignment="1">
      <alignment vertical="top"/>
    </xf>
    <xf numFmtId="5" fontId="9" fillId="3" borderId="0" xfId="0" applyNumberFormat="1" applyFont="1" applyFill="1" applyAlignment="1">
      <alignment vertical="top"/>
    </xf>
    <xf numFmtId="5" fontId="10" fillId="3" borderId="4" xfId="0" applyNumberFormat="1" applyFont="1" applyFill="1" applyBorder="1" applyAlignment="1">
      <alignment vertical="top"/>
    </xf>
    <xf numFmtId="0" fontId="9" fillId="3" borderId="0" xfId="0" applyFont="1" applyFill="1" applyAlignment="1"/>
    <xf numFmtId="0" fontId="10" fillId="3" borderId="0" xfId="0" applyFont="1" applyFill="1" applyAlignment="1"/>
    <xf numFmtId="0" fontId="9" fillId="3" borderId="0" xfId="0" applyFont="1" applyFill="1" applyAlignment="1">
      <alignment horizontal="center"/>
    </xf>
    <xf numFmtId="5" fontId="10" fillId="3" borderId="4" xfId="7" applyFont="1" applyFill="1" applyBorder="1">
      <alignment vertical="top"/>
    </xf>
    <xf numFmtId="9" fontId="10" fillId="3" borderId="0" xfId="20" quotePrefix="1" applyNumberFormat="1" applyFont="1" applyFill="1" applyBorder="1">
      <alignment vertical="top"/>
    </xf>
    <xf numFmtId="5" fontId="10" fillId="3" borderId="0" xfId="7" applyFont="1" applyFill="1" applyBorder="1">
      <alignment vertical="top"/>
    </xf>
    <xf numFmtId="5" fontId="9" fillId="3" borderId="4" xfId="7" applyFont="1" applyFill="1" applyBorder="1">
      <alignment vertical="top"/>
    </xf>
    <xf numFmtId="0" fontId="9" fillId="3" borderId="0" xfId="0" applyNumberFormat="1" applyFont="1" applyFill="1" applyAlignment="1">
      <alignment horizontal="left" vertical="top"/>
    </xf>
    <xf numFmtId="5" fontId="10" fillId="3" borderId="4" xfId="5" applyNumberFormat="1" applyFont="1" applyFill="1" applyBorder="1">
      <alignment vertical="top"/>
    </xf>
    <xf numFmtId="3" fontId="9" fillId="3" borderId="0" xfId="0" quotePrefix="1" applyNumberFormat="1" applyFont="1" applyFill="1">
      <alignment vertical="top"/>
    </xf>
    <xf numFmtId="3" fontId="9" fillId="3" borderId="5" xfId="0" applyNumberFormat="1" applyFont="1" applyFill="1" applyBorder="1" applyAlignment="1">
      <alignment horizontal="center" vertical="center"/>
    </xf>
    <xf numFmtId="3" fontId="17" fillId="3" borderId="0" xfId="0" applyNumberFormat="1" applyFont="1" applyFill="1" applyAlignment="1">
      <alignment vertical="center"/>
    </xf>
    <xf numFmtId="10" fontId="10" fillId="3" borderId="0" xfId="19" applyFont="1" applyFill="1" applyAlignment="1">
      <alignment vertical="center"/>
    </xf>
    <xf numFmtId="3" fontId="9" fillId="3" borderId="0" xfId="3" applyFont="1" applyFill="1" applyAlignment="1">
      <alignment horizontal="center" vertical="top"/>
    </xf>
    <xf numFmtId="3" fontId="9" fillId="3" borderId="0" xfId="0" applyNumberFormat="1" applyFont="1" applyFill="1" applyProtection="1">
      <alignment vertical="top"/>
      <protection locked="0"/>
    </xf>
    <xf numFmtId="179" fontId="10" fillId="3" borderId="0" xfId="0" applyNumberFormat="1" applyFont="1" applyFill="1">
      <alignment vertical="top"/>
    </xf>
    <xf numFmtId="37" fontId="10" fillId="3" borderId="0" xfId="2" quotePrefix="1" applyNumberFormat="1" applyFont="1" applyFill="1">
      <alignment vertical="top"/>
    </xf>
    <xf numFmtId="3" fontId="9" fillId="3" borderId="3" xfId="3" quotePrefix="1" applyFont="1" applyFill="1" applyBorder="1" applyAlignment="1">
      <alignment horizontal="center" vertical="top"/>
    </xf>
    <xf numFmtId="3" fontId="9" fillId="3" borderId="3" xfId="3" applyFont="1" applyFill="1" applyBorder="1" applyAlignment="1">
      <alignment horizontal="center" vertical="top"/>
    </xf>
    <xf numFmtId="37" fontId="10" fillId="3" borderId="0" xfId="2" applyNumberFormat="1" applyFont="1" applyFill="1" applyProtection="1">
      <alignment vertical="top"/>
    </xf>
    <xf numFmtId="37" fontId="10" fillId="3" borderId="0" xfId="2" applyNumberFormat="1" applyFont="1" applyFill="1" applyBorder="1" applyProtection="1">
      <alignment vertical="top"/>
      <protection locked="0"/>
    </xf>
    <xf numFmtId="166" fontId="10" fillId="3" borderId="0" xfId="2" applyNumberFormat="1" applyFont="1" applyFill="1">
      <alignment vertical="top"/>
    </xf>
    <xf numFmtId="37" fontId="10" fillId="3" borderId="4" xfId="2" applyNumberFormat="1" applyFont="1" applyFill="1" applyBorder="1">
      <alignment vertical="top"/>
    </xf>
    <xf numFmtId="3" fontId="10" fillId="3" borderId="0" xfId="2" applyNumberFormat="1" applyFont="1" applyFill="1">
      <alignment vertical="top"/>
    </xf>
    <xf numFmtId="4" fontId="10" fillId="3" borderId="0" xfId="2" applyFont="1" applyFill="1">
      <alignment vertical="top"/>
    </xf>
    <xf numFmtId="10" fontId="10" fillId="3" borderId="0" xfId="2" applyNumberFormat="1" applyFont="1" applyFill="1">
      <alignment vertical="top"/>
    </xf>
    <xf numFmtId="5" fontId="10" fillId="3" borderId="0" xfId="3" applyNumberFormat="1" applyFont="1" applyFill="1">
      <alignment vertical="top"/>
    </xf>
    <xf numFmtId="1" fontId="9" fillId="3" borderId="0" xfId="0" quotePrefix="1" applyNumberFormat="1" applyFont="1" applyFill="1">
      <alignment vertical="top"/>
    </xf>
    <xf numFmtId="168" fontId="10" fillId="3" borderId="0" xfId="0" applyNumberFormat="1" applyFont="1" applyFill="1">
      <alignment vertical="top"/>
    </xf>
    <xf numFmtId="168" fontId="10" fillId="3" borderId="0" xfId="0" applyNumberFormat="1" applyFont="1" applyFill="1" applyBorder="1">
      <alignment vertical="top"/>
    </xf>
    <xf numFmtId="3" fontId="9" fillId="3" borderId="9" xfId="0" applyNumberFormat="1" applyFont="1" applyFill="1" applyBorder="1" applyAlignment="1">
      <alignment horizontal="center" vertical="top"/>
    </xf>
    <xf numFmtId="3" fontId="14" fillId="3" borderId="0" xfId="0" applyNumberFormat="1" applyFont="1" applyFill="1" applyBorder="1" applyAlignment="1">
      <alignment vertical="top"/>
    </xf>
    <xf numFmtId="3" fontId="9" fillId="3" borderId="6" xfId="0" applyNumberFormat="1" applyFont="1" applyFill="1" applyBorder="1">
      <alignment vertical="top"/>
    </xf>
    <xf numFmtId="10" fontId="10" fillId="3" borderId="0" xfId="19" applyFont="1" applyFill="1" applyAlignment="1">
      <alignment horizontal="center" vertical="top"/>
    </xf>
    <xf numFmtId="0" fontId="10" fillId="3" borderId="6" xfId="0" applyFont="1" applyFill="1" applyBorder="1" applyAlignment="1">
      <alignment horizontal="center" vertical="top"/>
    </xf>
    <xf numFmtId="0" fontId="10" fillId="3" borderId="6" xfId="0" applyFont="1" applyFill="1" applyBorder="1">
      <alignment vertical="top"/>
    </xf>
    <xf numFmtId="37" fontId="10" fillId="3" borderId="3" xfId="8" applyNumberFormat="1" applyFont="1" applyFill="1" applyBorder="1">
      <alignment vertical="top"/>
    </xf>
    <xf numFmtId="3" fontId="10" fillId="3" borderId="0" xfId="2" applyNumberFormat="1" applyFont="1" applyFill="1" applyBorder="1">
      <alignment vertical="top"/>
    </xf>
    <xf numFmtId="3" fontId="10" fillId="3" borderId="6" xfId="0" applyNumberFormat="1" applyFont="1" applyFill="1" applyBorder="1" applyAlignment="1">
      <alignment horizontal="center" vertical="top"/>
    </xf>
    <xf numFmtId="37" fontId="10" fillId="3" borderId="4" xfId="8" applyNumberFormat="1" applyFont="1" applyFill="1" applyBorder="1">
      <alignment vertical="top"/>
    </xf>
    <xf numFmtId="3" fontId="11" fillId="3" borderId="0" xfId="0" applyNumberFormat="1" applyFont="1" applyFill="1">
      <alignment vertical="top"/>
    </xf>
    <xf numFmtId="3" fontId="12" fillId="3" borderId="0" xfId="0" applyNumberFormat="1" applyFont="1" applyFill="1">
      <alignment vertical="top"/>
    </xf>
    <xf numFmtId="0" fontId="11" fillId="3" borderId="0" xfId="0" applyFont="1" applyFill="1" applyAlignment="1"/>
    <xf numFmtId="5" fontId="10" fillId="3" borderId="7" xfId="0" applyNumberFormat="1" applyFont="1" applyFill="1" applyBorder="1">
      <alignment vertical="top"/>
    </xf>
    <xf numFmtId="0" fontId="10" fillId="3" borderId="0" xfId="0" applyFont="1" applyFill="1" applyBorder="1">
      <alignment vertical="top"/>
    </xf>
    <xf numFmtId="37" fontId="9" fillId="3" borderId="0" xfId="0" applyNumberFormat="1" applyFont="1" applyFill="1" applyAlignment="1">
      <alignment horizontal="center"/>
    </xf>
    <xf numFmtId="175" fontId="9" fillId="3" borderId="3" xfId="0" quotePrefix="1" applyNumberFormat="1" applyFont="1" applyFill="1" applyBorder="1" applyAlignment="1">
      <alignment horizontal="center"/>
    </xf>
    <xf numFmtId="37" fontId="9" fillId="3" borderId="3" xfId="0" applyNumberFormat="1" applyFont="1" applyFill="1" applyBorder="1" applyAlignment="1">
      <alignment horizontal="center"/>
    </xf>
    <xf numFmtId="3" fontId="9" fillId="3" borderId="0" xfId="3" applyFont="1" applyFill="1" applyBorder="1">
      <alignment vertical="top"/>
    </xf>
    <xf numFmtId="41" fontId="9" fillId="3" borderId="0" xfId="3" applyNumberFormat="1" applyFont="1" applyFill="1" applyBorder="1" applyAlignment="1">
      <alignment horizontal="center" vertical="top"/>
    </xf>
    <xf numFmtId="3" fontId="9" fillId="3" borderId="0" xfId="3" applyFont="1" applyFill="1" applyBorder="1" applyAlignment="1">
      <alignment horizontal="center" vertical="top"/>
    </xf>
    <xf numFmtId="0" fontId="9" fillId="3" borderId="0" xfId="0" applyFont="1" applyFill="1" applyAlignment="1">
      <alignment horizontal="left"/>
    </xf>
    <xf numFmtId="41" fontId="14" fillId="3" borderId="0" xfId="3" applyNumberFormat="1" applyFont="1" applyFill="1" applyBorder="1">
      <alignment vertical="top"/>
    </xf>
    <xf numFmtId="41" fontId="10" fillId="3" borderId="0" xfId="3" applyNumberFormat="1" applyFont="1" applyFill="1" applyBorder="1">
      <alignment vertical="top"/>
    </xf>
    <xf numFmtId="41" fontId="10" fillId="3" borderId="0" xfId="3" quotePrefix="1" applyNumberFormat="1" applyFont="1" applyFill="1" applyBorder="1">
      <alignment vertical="top"/>
    </xf>
    <xf numFmtId="41" fontId="10" fillId="3" borderId="3" xfId="3" applyNumberFormat="1" applyFont="1" applyFill="1" applyBorder="1">
      <alignment vertical="top"/>
    </xf>
    <xf numFmtId="41" fontId="10" fillId="3" borderId="4" xfId="3" applyNumberFormat="1" applyFont="1" applyFill="1" applyBorder="1">
      <alignment vertical="top"/>
    </xf>
    <xf numFmtId="43" fontId="14" fillId="3" borderId="0" xfId="3" applyNumberFormat="1" applyFont="1" applyFill="1" applyBorder="1">
      <alignment vertical="top"/>
    </xf>
    <xf numFmtId="43" fontId="10" fillId="3" borderId="0" xfId="3" applyNumberFormat="1" applyFont="1" applyFill="1" applyBorder="1">
      <alignment vertical="top"/>
    </xf>
    <xf numFmtId="3" fontId="15" fillId="3" borderId="0" xfId="3" applyFont="1" applyFill="1" applyBorder="1">
      <alignment vertical="top"/>
    </xf>
    <xf numFmtId="0" fontId="14" fillId="3" borderId="0" xfId="0" applyFont="1" applyFill="1" applyBorder="1">
      <alignment vertical="top"/>
    </xf>
    <xf numFmtId="0" fontId="14" fillId="3" borderId="0" xfId="0" applyFont="1" applyFill="1">
      <alignment vertical="top"/>
    </xf>
    <xf numFmtId="0" fontId="9" fillId="3" borderId="0" xfId="0" applyFont="1" applyFill="1" applyBorder="1">
      <alignment vertical="top"/>
    </xf>
    <xf numFmtId="3" fontId="9" fillId="3" borderId="0" xfId="3" quotePrefix="1" applyFont="1" applyFill="1" applyAlignment="1">
      <alignment horizontal="left" vertical="top"/>
    </xf>
    <xf numFmtId="41" fontId="10" fillId="3" borderId="0" xfId="0" applyNumberFormat="1" applyFont="1" applyFill="1" applyBorder="1">
      <alignment vertical="top"/>
    </xf>
    <xf numFmtId="0" fontId="9" fillId="3" borderId="0" xfId="0" quotePrefix="1" applyFont="1" applyFill="1" applyAlignment="1">
      <alignment horizontal="left" vertical="top"/>
    </xf>
    <xf numFmtId="180" fontId="10" fillId="3" borderId="0" xfId="5" applyNumberFormat="1" applyFont="1" applyFill="1">
      <alignment vertical="top"/>
    </xf>
    <xf numFmtId="3" fontId="18" fillId="3" borderId="0" xfId="0" applyNumberFormat="1" applyFont="1" applyFill="1" applyAlignment="1">
      <alignment vertical="center"/>
    </xf>
    <xf numFmtId="3" fontId="19" fillId="3" borderId="0" xfId="0" applyNumberFormat="1" applyFont="1" applyFill="1">
      <alignment vertical="top"/>
    </xf>
    <xf numFmtId="5" fontId="14" fillId="3" borderId="0" xfId="5" applyNumberFormat="1" applyFont="1" applyFill="1">
      <alignment vertical="top"/>
    </xf>
    <xf numFmtId="3" fontId="20" fillId="3" borderId="0" xfId="0" applyNumberFormat="1" applyFont="1" applyFill="1">
      <alignment vertical="top"/>
    </xf>
    <xf numFmtId="5" fontId="10" fillId="3" borderId="0" xfId="5" applyNumberFormat="1" applyFont="1" applyFill="1" applyProtection="1">
      <alignment vertical="top"/>
    </xf>
    <xf numFmtId="3" fontId="18" fillId="3" borderId="0" xfId="0" applyNumberFormat="1" applyFont="1" applyFill="1" applyBorder="1">
      <alignment vertical="top"/>
    </xf>
    <xf numFmtId="3" fontId="15" fillId="0" borderId="0" xfId="0" applyNumberFormat="1" applyFont="1" applyFill="1">
      <alignment vertical="top"/>
    </xf>
    <xf numFmtId="10" fontId="13" fillId="3" borderId="0" xfId="0" applyNumberFormat="1" applyFont="1" applyFill="1" applyBorder="1">
      <alignment vertical="top"/>
    </xf>
    <xf numFmtId="168" fontId="13" fillId="3" borderId="0" xfId="0" applyNumberFormat="1" applyFont="1" applyFill="1" applyBorder="1">
      <alignment vertical="top"/>
    </xf>
    <xf numFmtId="3" fontId="9" fillId="3" borderId="0" xfId="0" quotePrefix="1" applyNumberFormat="1" applyFont="1" applyFill="1" applyBorder="1" applyAlignment="1">
      <alignment horizontal="left" vertical="top"/>
    </xf>
    <xf numFmtId="3" fontId="21" fillId="3" borderId="0" xfId="0" applyNumberFormat="1" applyFont="1" applyFill="1">
      <alignment vertical="top"/>
    </xf>
    <xf numFmtId="166" fontId="10" fillId="0" borderId="3" xfId="19" applyNumberFormat="1" applyFont="1" applyFill="1" applyBorder="1">
      <alignment vertical="top"/>
    </xf>
    <xf numFmtId="10" fontId="10" fillId="3" borderId="0" xfId="2" applyNumberFormat="1" applyFont="1" applyFill="1" applyBorder="1">
      <alignment vertical="top"/>
    </xf>
    <xf numFmtId="10" fontId="9" fillId="3" borderId="0" xfId="0" applyNumberFormat="1" applyFont="1" applyFill="1" applyBorder="1">
      <alignment vertical="top"/>
    </xf>
    <xf numFmtId="3" fontId="22" fillId="0" borderId="0" xfId="26" applyNumberFormat="1" applyFill="1">
      <alignment vertical="top"/>
    </xf>
    <xf numFmtId="3" fontId="9" fillId="3" borderId="8" xfId="0" applyNumberFormat="1" applyFont="1" applyFill="1" applyBorder="1" applyAlignment="1">
      <alignment horizontal="center" vertical="top"/>
    </xf>
    <xf numFmtId="37" fontId="14" fillId="3" borderId="3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vertical="center"/>
    </xf>
    <xf numFmtId="3" fontId="23" fillId="3" borderId="0" xfId="26" applyNumberFormat="1" applyFont="1" applyFill="1" applyAlignment="1">
      <alignment vertical="center"/>
    </xf>
    <xf numFmtId="3" fontId="23" fillId="3" borderId="0" xfId="26" applyNumberFormat="1" applyFont="1" applyFill="1">
      <alignment vertical="top"/>
    </xf>
    <xf numFmtId="0" fontId="24" fillId="3" borderId="0" xfId="26" applyFont="1" applyFill="1" applyAlignment="1"/>
    <xf numFmtId="3" fontId="24" fillId="3" borderId="0" xfId="26" applyNumberFormat="1" applyFont="1" applyFill="1">
      <alignment vertical="top"/>
    </xf>
    <xf numFmtId="3" fontId="9" fillId="3" borderId="3" xfId="0" applyNumberFormat="1" applyFont="1" applyFill="1" applyBorder="1" applyAlignment="1">
      <alignment horizontal="center" vertical="top"/>
    </xf>
    <xf numFmtId="10" fontId="10" fillId="3" borderId="0" xfId="0" applyNumberFormat="1" applyFont="1" applyFill="1" applyBorder="1">
      <alignment vertical="top"/>
    </xf>
    <xf numFmtId="7" fontId="10" fillId="3" borderId="0" xfId="0" applyNumberFormat="1" applyFont="1" applyFill="1" applyAlignment="1">
      <alignment vertical="center"/>
    </xf>
    <xf numFmtId="3" fontId="9" fillId="3" borderId="3" xfId="0" applyNumberFormat="1" applyFont="1" applyFill="1" applyBorder="1" applyAlignment="1">
      <alignment horizontal="center" vertical="top"/>
    </xf>
    <xf numFmtId="10" fontId="9" fillId="3" borderId="13" xfId="0" applyNumberFormat="1" applyFont="1" applyFill="1" applyBorder="1" applyAlignment="1">
      <alignment horizontal="center" vertical="top"/>
    </xf>
    <xf numFmtId="3" fontId="10" fillId="3" borderId="13" xfId="0" applyNumberFormat="1" applyFont="1" applyFill="1" applyBorder="1" applyProtection="1">
      <alignment vertical="top"/>
      <protection locked="0"/>
    </xf>
    <xf numFmtId="37" fontId="10" fillId="3" borderId="13" xfId="3" applyNumberFormat="1" applyFont="1" applyFill="1" applyBorder="1">
      <alignment vertical="top"/>
    </xf>
    <xf numFmtId="37" fontId="10" fillId="3" borderId="14" xfId="3" applyNumberFormat="1" applyFont="1" applyFill="1" applyBorder="1">
      <alignment vertical="top"/>
    </xf>
    <xf numFmtId="5" fontId="10" fillId="3" borderId="15" xfId="8" applyFont="1" applyFill="1" applyBorder="1">
      <alignment vertical="top"/>
    </xf>
    <xf numFmtId="5" fontId="10" fillId="3" borderId="13" xfId="8" applyFont="1" applyFill="1" applyBorder="1">
      <alignment vertical="top"/>
    </xf>
    <xf numFmtId="5" fontId="10" fillId="3" borderId="15" xfId="8" applyNumberFormat="1" applyFont="1" applyFill="1" applyBorder="1">
      <alignment vertical="top"/>
    </xf>
    <xf numFmtId="10" fontId="10" fillId="3" borderId="13" xfId="0" applyNumberFormat="1" applyFont="1" applyFill="1" applyBorder="1">
      <alignment vertical="top"/>
    </xf>
    <xf numFmtId="10" fontId="10" fillId="3" borderId="12" xfId="0" applyNumberFormat="1" applyFont="1" applyFill="1" applyBorder="1">
      <alignment vertical="top"/>
    </xf>
    <xf numFmtId="5" fontId="10" fillId="0" borderId="4" xfId="8" applyFont="1" applyFill="1" applyBorder="1">
      <alignment vertical="top"/>
    </xf>
    <xf numFmtId="10" fontId="10" fillId="0" borderId="3" xfId="19" applyNumberFormat="1" applyFont="1" applyFill="1" applyBorder="1" applyAlignment="1">
      <alignment vertical="top"/>
    </xf>
    <xf numFmtId="3" fontId="9" fillId="3" borderId="3" xfId="0" applyNumberFormat="1" applyFont="1" applyFill="1" applyBorder="1" applyAlignment="1">
      <alignment horizontal="centerContinuous" vertical="top"/>
    </xf>
    <xf numFmtId="3" fontId="15" fillId="3" borderId="0" xfId="0" applyNumberFormat="1" applyFont="1" applyFill="1">
      <alignment vertical="top"/>
    </xf>
    <xf numFmtId="3" fontId="9" fillId="3" borderId="3" xfId="0" applyNumberFormat="1" applyFont="1" applyFill="1" applyBorder="1" applyAlignment="1">
      <alignment horizontal="center" vertical="top"/>
    </xf>
    <xf numFmtId="37" fontId="14" fillId="3" borderId="0" xfId="2" applyNumberFormat="1" applyFont="1" applyFill="1" applyBorder="1">
      <alignment vertical="top"/>
    </xf>
    <xf numFmtId="3" fontId="10" fillId="3" borderId="0" xfId="0" applyNumberFormat="1" applyFont="1" applyFill="1" applyBorder="1" applyAlignment="1">
      <alignment horizontal="center" vertical="top"/>
    </xf>
    <xf numFmtId="3" fontId="10" fillId="3" borderId="0" xfId="0" applyNumberFormat="1" applyFont="1" applyFill="1" applyBorder="1" applyAlignment="1">
      <alignment horizontal="left" vertical="top" indent="1"/>
    </xf>
    <xf numFmtId="37" fontId="10" fillId="3" borderId="0" xfId="2" applyNumberFormat="1" applyFont="1" applyFill="1" applyBorder="1" applyAlignment="1">
      <alignment horizontal="left" vertical="top" indent="1"/>
    </xf>
    <xf numFmtId="172" fontId="10" fillId="3" borderId="0" xfId="0" applyNumberFormat="1" applyFont="1" applyFill="1" applyProtection="1">
      <alignment vertical="top"/>
      <protection locked="0"/>
    </xf>
    <xf numFmtId="172" fontId="10" fillId="3" borderId="0" xfId="3" applyNumberFormat="1" applyFont="1" applyFill="1">
      <alignment vertical="top"/>
    </xf>
    <xf numFmtId="5" fontId="10" fillId="3" borderId="3" xfId="0" applyNumberFormat="1" applyFont="1" applyFill="1" applyBorder="1">
      <alignment vertical="top"/>
    </xf>
    <xf numFmtId="37" fontId="14" fillId="3" borderId="0" xfId="0" applyNumberFormat="1" applyFont="1" applyFill="1" applyAlignment="1">
      <alignment vertical="center"/>
    </xf>
    <xf numFmtId="0" fontId="9" fillId="3" borderId="0" xfId="0" applyFont="1" applyFill="1" applyBorder="1" applyAlignment="1"/>
    <xf numFmtId="0" fontId="9" fillId="3" borderId="0" xfId="0" applyFont="1" applyFill="1" applyBorder="1" applyAlignment="1">
      <alignment horizontal="left"/>
    </xf>
    <xf numFmtId="10" fontId="10" fillId="3" borderId="0" xfId="0" applyNumberFormat="1" applyFont="1" applyFill="1" applyAlignment="1"/>
    <xf numFmtId="3" fontId="10" fillId="3" borderId="0" xfId="0" applyNumberFormat="1" applyFont="1" applyFill="1" applyAlignment="1"/>
    <xf numFmtId="3" fontId="10" fillId="3" borderId="0" xfId="0" applyNumberFormat="1" applyFont="1" applyFill="1" applyBorder="1" applyAlignment="1"/>
    <xf numFmtId="5" fontId="10" fillId="3" borderId="7" xfId="0" applyNumberFormat="1" applyFont="1" applyFill="1" applyBorder="1" applyAlignment="1"/>
    <xf numFmtId="37" fontId="10" fillId="3" borderId="0" xfId="0" applyNumberFormat="1" applyFont="1" applyFill="1" applyBorder="1" applyAlignment="1"/>
    <xf numFmtId="37" fontId="10" fillId="3" borderId="3" xfId="0" applyNumberFormat="1" applyFont="1" applyFill="1" applyBorder="1" applyAlignment="1"/>
    <xf numFmtId="3" fontId="10" fillId="0" borderId="0" xfId="0" applyNumberFormat="1" applyFont="1" applyFill="1" applyAlignment="1">
      <alignment vertical="center"/>
    </xf>
    <xf numFmtId="3" fontId="9" fillId="2" borderId="0" xfId="0" applyNumberFormat="1" applyFont="1" applyFill="1" applyAlignment="1">
      <alignment horizontal="center" vertical="top"/>
    </xf>
    <xf numFmtId="3" fontId="9" fillId="3" borderId="3" xfId="0" applyNumberFormat="1" applyFont="1" applyFill="1" applyBorder="1" applyAlignment="1">
      <alignment horizontal="center" vertical="top"/>
    </xf>
    <xf numFmtId="181" fontId="10" fillId="3" borderId="0" xfId="0" applyNumberFormat="1" applyFont="1" applyFill="1">
      <alignment vertical="top"/>
    </xf>
    <xf numFmtId="181" fontId="10" fillId="3" borderId="7" xfId="2" applyNumberFormat="1" applyFont="1" applyFill="1" applyBorder="1" applyAlignment="1"/>
    <xf numFmtId="181" fontId="10" fillId="3" borderId="0" xfId="2" applyNumberFormat="1" applyFont="1" applyFill="1" applyAlignment="1"/>
    <xf numFmtId="5" fontId="13" fillId="3" borderId="0" xfId="0" applyNumberFormat="1" applyFont="1" applyFill="1">
      <alignment vertical="top"/>
    </xf>
    <xf numFmtId="37" fontId="13" fillId="3" borderId="0" xfId="0" applyNumberFormat="1" applyFont="1" applyFill="1">
      <alignment vertical="top"/>
    </xf>
    <xf numFmtId="37" fontId="13" fillId="3" borderId="3" xfId="0" applyNumberFormat="1" applyFont="1" applyFill="1" applyBorder="1">
      <alignment vertical="top"/>
    </xf>
    <xf numFmtId="5" fontId="9" fillId="3" borderId="0" xfId="0" applyNumberFormat="1" applyFont="1" applyFill="1" applyBorder="1">
      <alignment vertical="top"/>
    </xf>
    <xf numFmtId="41" fontId="10" fillId="3" borderId="4" xfId="8" applyNumberFormat="1" applyFont="1" applyFill="1" applyBorder="1">
      <alignment vertical="top"/>
    </xf>
    <xf numFmtId="0" fontId="9" fillId="3" borderId="0" xfId="0" quotePrefix="1" applyFont="1" applyFill="1" applyBorder="1" applyAlignment="1">
      <alignment horizontal="left" vertical="top"/>
    </xf>
    <xf numFmtId="3" fontId="24" fillId="3" borderId="0" xfId="26" applyNumberFormat="1" applyFont="1" applyFill="1" applyAlignment="1">
      <alignment horizontal="left" vertical="center"/>
    </xf>
    <xf numFmtId="0" fontId="24" fillId="0" borderId="0" xfId="26" applyFont="1" applyFill="1">
      <alignment vertical="top"/>
    </xf>
    <xf numFmtId="3" fontId="9" fillId="3" borderId="0" xfId="0" applyNumberFormat="1" applyFont="1" applyFill="1" applyBorder="1" applyAlignment="1">
      <alignment horizontal="center" vertical="top"/>
    </xf>
    <xf numFmtId="3" fontId="13" fillId="3" borderId="0" xfId="0" applyNumberFormat="1" applyFont="1" applyFill="1" applyBorder="1">
      <alignment vertical="top"/>
    </xf>
    <xf numFmtId="168" fontId="10" fillId="3" borderId="0" xfId="0" applyNumberFormat="1" applyFont="1" applyFill="1" applyAlignment="1">
      <alignment horizontal="center" vertical="top"/>
    </xf>
    <xf numFmtId="3" fontId="16" fillId="3" borderId="0" xfId="2" applyNumberFormat="1" applyFont="1" applyFill="1">
      <alignment vertical="top"/>
    </xf>
    <xf numFmtId="0" fontId="10" fillId="3" borderId="0" xfId="0" applyNumberFormat="1" applyFont="1" applyFill="1" applyBorder="1">
      <alignment vertical="top"/>
    </xf>
    <xf numFmtId="168" fontId="14" fillId="3" borderId="0" xfId="0" applyNumberFormat="1" applyFont="1" applyFill="1" applyBorder="1">
      <alignment vertical="top"/>
    </xf>
    <xf numFmtId="165" fontId="10" fillId="3" borderId="0" xfId="0" applyNumberFormat="1" applyFont="1" applyFill="1">
      <alignment vertical="top"/>
    </xf>
    <xf numFmtId="37" fontId="9" fillId="3" borderId="7" xfId="0" applyNumberFormat="1" applyFont="1" applyFill="1" applyBorder="1" applyAlignment="1">
      <alignment vertical="center"/>
    </xf>
    <xf numFmtId="3" fontId="9" fillId="0" borderId="0" xfId="0" applyNumberFormat="1" applyFont="1" applyFill="1">
      <alignment vertical="top"/>
    </xf>
    <xf numFmtId="1" fontId="9" fillId="3" borderId="3" xfId="0" applyNumberFormat="1" applyFont="1" applyFill="1" applyBorder="1" applyAlignment="1">
      <alignment horizontal="center" vertical="center"/>
    </xf>
    <xf numFmtId="171" fontId="10" fillId="0" borderId="0" xfId="0" applyNumberFormat="1" applyFont="1" applyFill="1" applyAlignment="1" applyProtection="1">
      <alignment vertical="center"/>
    </xf>
    <xf numFmtId="0" fontId="9" fillId="3" borderId="0" xfId="0" applyFont="1" applyFill="1" applyBorder="1" applyAlignment="1">
      <alignment horizontal="center" vertical="top"/>
    </xf>
    <xf numFmtId="0" fontId="9" fillId="3" borderId="0" xfId="0" quotePrefix="1" applyFont="1" applyFill="1" applyBorder="1" applyAlignment="1">
      <alignment horizontal="center" vertical="top"/>
    </xf>
    <xf numFmtId="1" fontId="9" fillId="3" borderId="3" xfId="0" applyNumberFormat="1" applyFont="1" applyFill="1" applyBorder="1" applyAlignment="1">
      <alignment horizontal="center" vertical="center"/>
    </xf>
    <xf numFmtId="37" fontId="10" fillId="3" borderId="0" xfId="17" applyNumberFormat="1" applyFont="1" applyFill="1" applyAlignment="1" applyProtection="1">
      <alignment vertical="center"/>
    </xf>
    <xf numFmtId="5" fontId="10" fillId="3" borderId="0" xfId="17" applyNumberFormat="1" applyFont="1" applyFill="1" applyAlignment="1" applyProtection="1">
      <alignment vertical="center"/>
    </xf>
    <xf numFmtId="3" fontId="10" fillId="3" borderId="0" xfId="0" applyNumberFormat="1" applyFont="1" applyFill="1" applyBorder="1" applyAlignment="1">
      <alignment horizontal="right" vertical="top"/>
    </xf>
    <xf numFmtId="166" fontId="0" fillId="3" borderId="0" xfId="19" applyNumberFormat="1" applyFont="1" applyFill="1" applyBorder="1" applyAlignment="1">
      <alignment horizontal="center" vertical="center"/>
    </xf>
    <xf numFmtId="170" fontId="0" fillId="3" borderId="0" xfId="2" applyNumberFormat="1" applyFont="1" applyFill="1" applyBorder="1" applyAlignment="1">
      <alignment horizontal="center" vertical="center"/>
    </xf>
    <xf numFmtId="170" fontId="0" fillId="3" borderId="0" xfId="2" applyNumberFormat="1" applyFont="1" applyFill="1" applyBorder="1" applyAlignment="1">
      <alignment vertical="center"/>
    </xf>
    <xf numFmtId="164" fontId="0" fillId="3" borderId="0" xfId="19" applyNumberFormat="1" applyFont="1" applyFill="1" applyBorder="1" applyAlignment="1">
      <alignment vertical="center"/>
    </xf>
    <xf numFmtId="5" fontId="10" fillId="3" borderId="3" xfId="5" applyNumberFormat="1" applyFont="1" applyFill="1" applyBorder="1" applyAlignment="1">
      <alignment vertical="center"/>
    </xf>
    <xf numFmtId="37" fontId="10" fillId="3" borderId="0" xfId="0" applyNumberFormat="1" applyFont="1" applyFill="1" applyAlignment="1">
      <alignment horizontal="center" vertical="center"/>
    </xf>
    <xf numFmtId="3" fontId="10" fillId="3" borderId="0" xfId="2" applyNumberFormat="1" applyFont="1" applyFill="1" applyBorder="1" applyAlignment="1" applyProtection="1">
      <alignment horizontal="right" vertical="center"/>
    </xf>
    <xf numFmtId="174" fontId="10" fillId="3" borderId="0" xfId="0" applyNumberFormat="1" applyFont="1" applyFill="1" applyBorder="1" applyAlignment="1" applyProtection="1">
      <alignment horizontal="center" vertical="center"/>
    </xf>
    <xf numFmtId="3" fontId="9" fillId="3" borderId="3" xfId="0" applyNumberFormat="1" applyFont="1" applyFill="1" applyBorder="1" applyAlignment="1">
      <alignment horizontal="center" vertical="top"/>
    </xf>
    <xf numFmtId="3" fontId="9" fillId="2" borderId="3" xfId="0" applyNumberFormat="1" applyFont="1" applyFill="1" applyBorder="1" applyAlignment="1">
      <alignment horizontal="center" vertical="top"/>
    </xf>
    <xf numFmtId="10" fontId="0" fillId="3" borderId="0" xfId="2" applyNumberFormat="1" applyFont="1" applyFill="1" applyBorder="1" applyAlignment="1">
      <alignment vertical="center"/>
    </xf>
    <xf numFmtId="0" fontId="9" fillId="3" borderId="0" xfId="0" applyFont="1" applyFill="1" applyBorder="1" applyAlignment="1">
      <alignment horizontal="left" vertical="top"/>
    </xf>
    <xf numFmtId="0" fontId="10" fillId="3" borderId="0" xfId="0" applyFont="1" applyFill="1" applyBorder="1" applyAlignment="1">
      <alignment horizontal="center" vertical="top"/>
    </xf>
    <xf numFmtId="0" fontId="9" fillId="3" borderId="0" xfId="0" applyNumberFormat="1" applyFont="1" applyFill="1" applyBorder="1">
      <alignment vertical="top"/>
    </xf>
    <xf numFmtId="165" fontId="10" fillId="3" borderId="0" xfId="0" applyNumberFormat="1" applyFont="1" applyFill="1" applyBorder="1">
      <alignment vertical="top"/>
    </xf>
    <xf numFmtId="5" fontId="10" fillId="0" borderId="0" xfId="5" applyNumberFormat="1" applyFont="1" applyFill="1" applyBorder="1" applyAlignment="1">
      <alignment vertical="center"/>
    </xf>
    <xf numFmtId="5" fontId="14" fillId="3" borderId="0" xfId="16" applyNumberFormat="1" applyFont="1" applyFill="1" applyBorder="1"/>
    <xf numFmtId="5" fontId="10" fillId="3" borderId="0" xfId="16" applyNumberFormat="1" applyFont="1" applyFill="1"/>
    <xf numFmtId="5" fontId="10" fillId="3" borderId="8" xfId="8" applyNumberFormat="1" applyFont="1" applyFill="1" applyBorder="1" applyAlignment="1">
      <alignment horizontal="right" vertical="top"/>
    </xf>
    <xf numFmtId="5" fontId="10" fillId="0" borderId="0" xfId="8" applyNumberFormat="1" applyFont="1" applyFill="1" applyAlignment="1">
      <alignment horizontal="right" vertical="top"/>
    </xf>
    <xf numFmtId="5" fontId="10" fillId="3" borderId="0" xfId="0" applyNumberFormat="1" applyFont="1" applyFill="1" applyAlignment="1"/>
    <xf numFmtId="5" fontId="10" fillId="3" borderId="0" xfId="0" applyNumberFormat="1" applyFont="1" applyFill="1" applyAlignment="1">
      <alignment horizontal="right" vertical="top"/>
    </xf>
    <xf numFmtId="5" fontId="10" fillId="3" borderId="0" xfId="0" applyNumberFormat="1" applyFont="1" applyFill="1" applyBorder="1" applyAlignment="1">
      <alignment horizontal="right" vertical="top"/>
    </xf>
    <xf numFmtId="37" fontId="9" fillId="0" borderId="0" xfId="2" applyNumberFormat="1" applyFont="1" applyFill="1" applyBorder="1">
      <alignment vertical="top"/>
    </xf>
    <xf numFmtId="5" fontId="10" fillId="0" borderId="0" xfId="0" applyNumberFormat="1" applyFont="1" applyFill="1">
      <alignment vertical="top"/>
    </xf>
    <xf numFmtId="3" fontId="9" fillId="3" borderId="0" xfId="0" applyNumberFormat="1" applyFont="1" applyFill="1" applyBorder="1" applyAlignment="1">
      <alignment horizontal="center" vertical="top"/>
    </xf>
    <xf numFmtId="9" fontId="10" fillId="3" borderId="0" xfId="20" quotePrefix="1" applyNumberFormat="1" applyFont="1" applyFill="1" applyBorder="1" applyAlignment="1">
      <alignment horizontal="center" vertical="top"/>
    </xf>
    <xf numFmtId="10" fontId="10" fillId="3" borderId="0" xfId="20" quotePrefix="1" applyFont="1" applyFill="1" applyBorder="1" applyAlignment="1">
      <alignment horizontal="center" vertical="top"/>
    </xf>
    <xf numFmtId="5" fontId="10" fillId="3" borderId="3" xfId="8" applyFont="1" applyFill="1" applyBorder="1" applyAlignment="1">
      <alignment horizontal="right" vertical="top"/>
    </xf>
    <xf numFmtId="5" fontId="9" fillId="3" borderId="8" xfId="0" applyNumberFormat="1" applyFont="1" applyFill="1" applyBorder="1" applyAlignment="1">
      <alignment horizontal="center" vertical="top"/>
    </xf>
    <xf numFmtId="7" fontId="10" fillId="3" borderId="0" xfId="0" applyNumberFormat="1" applyFont="1" applyFill="1">
      <alignment vertical="top"/>
    </xf>
    <xf numFmtId="3" fontId="10" fillId="3" borderId="12" xfId="0" applyNumberFormat="1" applyFont="1" applyFill="1" applyBorder="1">
      <alignment vertical="top"/>
    </xf>
    <xf numFmtId="3" fontId="10" fillId="3" borderId="11" xfId="0" applyNumberFormat="1" applyFont="1" applyFill="1" applyBorder="1">
      <alignment vertical="top"/>
    </xf>
    <xf numFmtId="37" fontId="10" fillId="3" borderId="12" xfId="3" applyNumberFormat="1" applyFont="1" applyFill="1" applyBorder="1">
      <alignment vertical="top"/>
    </xf>
    <xf numFmtId="1" fontId="9" fillId="3" borderId="0" xfId="0" applyNumberFormat="1" applyFont="1" applyFill="1" applyBorder="1" applyAlignment="1">
      <alignment horizontal="center" vertical="top"/>
    </xf>
    <xf numFmtId="164" fontId="10" fillId="3" borderId="0" xfId="19" applyNumberFormat="1" applyFont="1" applyFill="1" applyAlignment="1">
      <alignment horizontal="center" vertical="top"/>
    </xf>
    <xf numFmtId="164" fontId="10" fillId="3" borderId="15" xfId="0" applyNumberFormat="1" applyFont="1" applyFill="1" applyBorder="1">
      <alignment vertical="top"/>
    </xf>
    <xf numFmtId="0" fontId="10" fillId="3" borderId="0" xfId="0" applyNumberFormat="1" applyFont="1" applyFill="1" applyBorder="1" applyAlignment="1" applyProtection="1">
      <alignment horizontal="center" vertical="top"/>
    </xf>
    <xf numFmtId="164" fontId="10" fillId="3" borderId="0" xfId="19" applyNumberFormat="1" applyFont="1" applyFill="1" applyBorder="1" applyAlignment="1">
      <alignment horizontal="center" vertical="top"/>
    </xf>
    <xf numFmtId="37" fontId="9" fillId="3" borderId="0" xfId="0" applyNumberFormat="1" applyFont="1" applyFill="1" applyAlignment="1">
      <alignment horizontal="center" vertical="top"/>
    </xf>
    <xf numFmtId="37" fontId="10" fillId="3" borderId="13" xfId="2" applyNumberFormat="1" applyFont="1" applyFill="1" applyBorder="1">
      <alignment vertical="top"/>
    </xf>
    <xf numFmtId="37" fontId="10" fillId="3" borderId="14" xfId="2" applyNumberFormat="1" applyFont="1" applyFill="1" applyBorder="1">
      <alignment vertical="top"/>
    </xf>
    <xf numFmtId="3" fontId="9" fillId="3" borderId="3" xfId="0" applyNumberFormat="1" applyFont="1" applyFill="1" applyBorder="1" applyAlignment="1">
      <alignment horizontal="center" vertical="top"/>
    </xf>
    <xf numFmtId="3" fontId="9" fillId="3" borderId="0" xfId="0" applyNumberFormat="1" applyFont="1" applyFill="1" applyBorder="1" applyAlignment="1">
      <alignment horizontal="center" vertical="top"/>
    </xf>
    <xf numFmtId="5" fontId="10" fillId="3" borderId="0" xfId="5" applyNumberFormat="1" applyFont="1" applyFill="1" applyBorder="1">
      <alignment vertical="top"/>
    </xf>
    <xf numFmtId="5" fontId="10" fillId="0" borderId="4" xfId="5" applyNumberFormat="1" applyFont="1" applyFill="1" applyBorder="1">
      <alignment vertical="top"/>
    </xf>
    <xf numFmtId="3" fontId="0" fillId="3" borderId="0" xfId="0" applyNumberFormat="1" applyFill="1" applyAlignment="1">
      <alignment horizontal="center" vertical="top"/>
    </xf>
    <xf numFmtId="5" fontId="10" fillId="3" borderId="0" xfId="5" applyNumberFormat="1" applyFont="1" applyFill="1" applyAlignment="1">
      <alignment horizontal="center" vertical="top"/>
    </xf>
    <xf numFmtId="181" fontId="10" fillId="3" borderId="0" xfId="0" applyNumberFormat="1" applyFont="1" applyFill="1" applyAlignment="1">
      <alignment horizontal="center" vertical="top"/>
    </xf>
    <xf numFmtId="5" fontId="10" fillId="3" borderId="7" xfId="5" applyNumberFormat="1" applyFont="1" applyFill="1" applyBorder="1" applyAlignment="1">
      <alignment horizontal="center"/>
    </xf>
    <xf numFmtId="3" fontId="25" fillId="3" borderId="0" xfId="0" applyNumberFormat="1" applyFont="1" applyFill="1" applyAlignment="1">
      <alignment horizontal="center" vertical="top"/>
    </xf>
    <xf numFmtId="3" fontId="9" fillId="3" borderId="3" xfId="0" applyNumberFormat="1" applyFont="1" applyFill="1" applyBorder="1" applyAlignment="1">
      <alignment horizontal="center" vertical="center" wrapText="1"/>
    </xf>
    <xf numFmtId="10" fontId="9" fillId="3" borderId="0" xfId="0" applyNumberFormat="1" applyFont="1" applyFill="1" applyBorder="1" applyAlignment="1">
      <alignment horizontal="center" vertical="top"/>
    </xf>
    <xf numFmtId="3" fontId="10" fillId="3" borderId="0" xfId="0" applyNumberFormat="1" applyFont="1" applyFill="1" applyBorder="1" applyProtection="1">
      <alignment vertical="top"/>
      <protection locked="0"/>
    </xf>
    <xf numFmtId="3" fontId="9" fillId="3" borderId="10" xfId="0" applyNumberFormat="1" applyFont="1" applyFill="1" applyBorder="1" applyAlignment="1">
      <alignment horizontal="center" vertical="top"/>
    </xf>
    <xf numFmtId="10" fontId="10" fillId="3" borderId="0" xfId="19" applyNumberFormat="1" applyFont="1" applyFill="1" applyAlignment="1">
      <alignment horizontal="center" vertical="top"/>
    </xf>
    <xf numFmtId="5" fontId="10" fillId="0" borderId="0" xfId="5" applyNumberFormat="1" applyFont="1" applyFill="1" applyAlignment="1">
      <alignment vertical="center"/>
    </xf>
    <xf numFmtId="182" fontId="10" fillId="0" borderId="0" xfId="5" applyNumberFormat="1" applyFont="1" applyFill="1" applyAlignment="1">
      <alignment vertical="center"/>
    </xf>
    <xf numFmtId="37" fontId="10" fillId="0" borderId="4" xfId="2" applyNumberFormat="1" applyFont="1" applyFill="1" applyBorder="1">
      <alignment vertical="top"/>
    </xf>
    <xf numFmtId="4" fontId="10" fillId="3" borderId="0" xfId="0" applyNumberFormat="1" applyFont="1" applyFill="1" applyBorder="1">
      <alignment vertical="top"/>
    </xf>
    <xf numFmtId="3" fontId="9" fillId="3" borderId="3" xfId="0" applyNumberFormat="1" applyFont="1" applyFill="1" applyBorder="1" applyAlignment="1">
      <alignment horizontal="center" vertical="top"/>
    </xf>
    <xf numFmtId="3" fontId="26" fillId="3" borderId="0" xfId="0" applyNumberFormat="1" applyFont="1" applyFill="1" applyAlignment="1">
      <alignment vertical="center"/>
    </xf>
    <xf numFmtId="41" fontId="10" fillId="3" borderId="0" xfId="5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 vertical="top"/>
    </xf>
    <xf numFmtId="3" fontId="9" fillId="0" borderId="3" xfId="0" applyNumberFormat="1" applyFont="1" applyFill="1" applyBorder="1" applyAlignment="1">
      <alignment horizontal="center" vertical="top"/>
    </xf>
    <xf numFmtId="10" fontId="9" fillId="3" borderId="0" xfId="19" applyFont="1" applyFill="1" applyBorder="1" applyAlignment="1">
      <alignment vertical="top"/>
    </xf>
    <xf numFmtId="3" fontId="9" fillId="3" borderId="0" xfId="0" applyNumberFormat="1" applyFont="1" applyFill="1" applyBorder="1" applyAlignment="1">
      <alignment horizontal="center" vertical="top"/>
    </xf>
    <xf numFmtId="37" fontId="1" fillId="3" borderId="0" xfId="0" applyNumberFormat="1" applyFont="1" applyFill="1" applyBorder="1" applyAlignment="1">
      <alignment vertical="center"/>
    </xf>
    <xf numFmtId="37" fontId="1" fillId="3" borderId="3" xfId="0" applyNumberFormat="1" applyFont="1" applyFill="1" applyBorder="1" applyAlignment="1">
      <alignment vertical="center"/>
    </xf>
    <xf numFmtId="5" fontId="1" fillId="3" borderId="0" xfId="5" applyNumberFormat="1" applyFont="1" applyFill="1" applyAlignment="1"/>
    <xf numFmtId="5" fontId="1" fillId="3" borderId="0" xfId="5" applyNumberFormat="1" applyFont="1" applyFill="1" applyBorder="1">
      <alignment vertical="top"/>
    </xf>
    <xf numFmtId="41" fontId="10" fillId="3" borderId="0" xfId="5" applyNumberFormat="1" applyFont="1" applyFill="1" applyAlignment="1">
      <alignment horizontal="center" vertical="top"/>
    </xf>
    <xf numFmtId="168" fontId="10" fillId="3" borderId="3" xfId="0" applyNumberFormat="1" applyFont="1" applyFill="1" applyBorder="1">
      <alignment vertical="top"/>
    </xf>
    <xf numFmtId="5" fontId="10" fillId="3" borderId="0" xfId="0" applyNumberFormat="1" applyFont="1" applyFill="1" applyProtection="1">
      <alignment vertical="top"/>
      <protection locked="0"/>
    </xf>
    <xf numFmtId="166" fontId="10" fillId="3" borderId="3" xfId="19" applyNumberFormat="1" applyFont="1" applyFill="1" applyBorder="1">
      <alignment vertical="top"/>
    </xf>
    <xf numFmtId="4" fontId="10" fillId="3" borderId="0" xfId="2" applyFont="1" applyFill="1" applyAlignment="1">
      <alignment vertical="center"/>
    </xf>
    <xf numFmtId="7" fontId="10" fillId="3" borderId="0" xfId="19" applyNumberFormat="1" applyFont="1" applyFill="1" applyAlignment="1">
      <alignment vertical="center"/>
    </xf>
    <xf numFmtId="39" fontId="10" fillId="3" borderId="4" xfId="2" applyNumberFormat="1" applyFont="1" applyFill="1" applyBorder="1">
      <alignment vertical="top"/>
    </xf>
    <xf numFmtId="3" fontId="10" fillId="3" borderId="7" xfId="0" applyNumberFormat="1" applyFont="1" applyFill="1" applyBorder="1">
      <alignment vertical="top"/>
    </xf>
    <xf numFmtId="3" fontId="10" fillId="3" borderId="7" xfId="8" applyNumberFormat="1" applyFont="1" applyFill="1" applyBorder="1">
      <alignment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>
      <alignment vertical="top"/>
    </xf>
    <xf numFmtId="164" fontId="10" fillId="0" borderId="0" xfId="19" applyNumberFormat="1" applyFont="1" applyFill="1" applyBorder="1" applyAlignment="1">
      <alignment horizontal="center" vertical="top"/>
    </xf>
    <xf numFmtId="184" fontId="10" fillId="3" borderId="0" xfId="0" applyNumberFormat="1" applyFont="1" applyFill="1">
      <alignment vertical="top"/>
    </xf>
    <xf numFmtId="3" fontId="9" fillId="3" borderId="0" xfId="0" applyNumberFormat="1" applyFont="1" applyFill="1" applyBorder="1" applyAlignment="1">
      <alignment horizontal="center" vertical="top"/>
    </xf>
    <xf numFmtId="3" fontId="9" fillId="3" borderId="3" xfId="0" applyNumberFormat="1" applyFont="1" applyFill="1" applyBorder="1" applyAlignment="1">
      <alignment horizontal="center" vertical="top"/>
    </xf>
    <xf numFmtId="3" fontId="9" fillId="3" borderId="0" xfId="0" applyNumberFormat="1" applyFont="1" applyFill="1" applyBorder="1" applyAlignment="1">
      <alignment horizontal="center" vertical="top"/>
    </xf>
    <xf numFmtId="7" fontId="9" fillId="0" borderId="0" xfId="5" applyNumberFormat="1" applyFont="1" applyFill="1">
      <alignment vertical="top"/>
    </xf>
    <xf numFmtId="7" fontId="17" fillId="0" borderId="0" xfId="5" applyNumberFormat="1" applyFont="1" applyFill="1">
      <alignment vertical="top"/>
    </xf>
    <xf numFmtId="7" fontId="9" fillId="0" borderId="0" xfId="5" applyFont="1" applyFill="1">
      <alignment vertical="top"/>
    </xf>
    <xf numFmtId="7" fontId="17" fillId="0" borderId="0" xfId="5" applyFont="1" applyFill="1">
      <alignment vertical="top"/>
    </xf>
    <xf numFmtId="18" fontId="9" fillId="0" borderId="0" xfId="0" applyNumberFormat="1" applyFont="1" applyFill="1">
      <alignment vertical="top"/>
    </xf>
    <xf numFmtId="164" fontId="10" fillId="0" borderId="0" xfId="19" applyNumberFormat="1" applyFont="1" applyFill="1">
      <alignment vertical="top"/>
    </xf>
    <xf numFmtId="0" fontId="9" fillId="3" borderId="0" xfId="0" applyNumberFormat="1" applyFont="1" applyFill="1" applyBorder="1" applyAlignment="1">
      <alignment horizontal="center" vertical="top"/>
    </xf>
    <xf numFmtId="0" fontId="10" fillId="3" borderId="0" xfId="0" applyNumberFormat="1" applyFont="1" applyFill="1" applyBorder="1" applyAlignment="1">
      <alignment horizontal="center" vertical="top"/>
    </xf>
    <xf numFmtId="37" fontId="0" fillId="0" borderId="0" xfId="0" applyNumberFormat="1" applyBorder="1" applyAlignment="1">
      <alignment horizontal="left" vertical="top" indent="1"/>
    </xf>
    <xf numFmtId="3" fontId="10" fillId="0" borderId="0" xfId="0" applyNumberFormat="1" applyFont="1" applyFill="1" applyBorder="1" applyAlignment="1">
      <alignment horizontal="center" vertical="top"/>
    </xf>
    <xf numFmtId="10" fontId="10" fillId="3" borderId="0" xfId="19" applyNumberFormat="1" applyFont="1" applyFill="1" applyBorder="1">
      <alignment vertical="top"/>
    </xf>
    <xf numFmtId="37" fontId="9" fillId="3" borderId="0" xfId="2" applyNumberFormat="1" applyFont="1" applyFill="1" applyBorder="1">
      <alignment vertical="top"/>
    </xf>
    <xf numFmtId="10" fontId="10" fillId="3" borderId="0" xfId="19" applyFont="1" applyFill="1" applyBorder="1" applyAlignment="1">
      <alignment vertical="top"/>
    </xf>
    <xf numFmtId="37" fontId="10" fillId="3" borderId="0" xfId="3" applyNumberFormat="1" applyFont="1" applyFill="1" applyBorder="1" applyAlignment="1">
      <alignment horizontal="center" vertical="top"/>
    </xf>
    <xf numFmtId="3" fontId="27" fillId="0" borderId="0" xfId="0" applyNumberFormat="1" applyFont="1">
      <alignment vertical="top"/>
    </xf>
    <xf numFmtId="5" fontId="10" fillId="3" borderId="3" xfId="5" applyNumberFormat="1" applyFont="1" applyFill="1" applyBorder="1">
      <alignment vertical="top"/>
    </xf>
    <xf numFmtId="4" fontId="10" fillId="3" borderId="0" xfId="0" applyNumberFormat="1" applyFont="1" applyFill="1">
      <alignment vertical="top"/>
    </xf>
    <xf numFmtId="3" fontId="9" fillId="3" borderId="3" xfId="0" applyNumberFormat="1" applyFont="1" applyFill="1" applyBorder="1" applyAlignment="1">
      <alignment horizontal="center" vertical="top"/>
    </xf>
    <xf numFmtId="3" fontId="9" fillId="3" borderId="0" xfId="0" applyNumberFormat="1" applyFont="1" applyFill="1" applyBorder="1" applyAlignment="1">
      <alignment horizontal="center" vertical="top"/>
    </xf>
    <xf numFmtId="3" fontId="9" fillId="3" borderId="6" xfId="0" applyNumberFormat="1" applyFont="1" applyFill="1" applyBorder="1" applyAlignment="1">
      <alignment horizontal="center" vertical="top"/>
    </xf>
    <xf numFmtId="1" fontId="9" fillId="3" borderId="3" xfId="0" applyNumberFormat="1" applyFont="1" applyFill="1" applyBorder="1" applyAlignment="1">
      <alignment horizontal="center" vertical="center"/>
    </xf>
  </cellXfs>
  <cellStyles count="27">
    <cellStyle name="coma 5" xfId="1" xr:uid="{00000000-0005-0000-0000-000000000000}"/>
    <cellStyle name="Comma" xfId="2" builtinId="3"/>
    <cellStyle name="Comma 2" xfId="25" xr:uid="{C5C0321D-E753-49BC-97C9-174BCF8313E3}"/>
    <cellStyle name="Comma0" xfId="3" xr:uid="{00000000-0005-0000-0000-000002000000}"/>
    <cellStyle name="Comma4" xfId="4" xr:uid="{00000000-0005-0000-0000-000003000000}"/>
    <cellStyle name="Currency" xfId="5" builtinId="4"/>
    <cellStyle name="currency 0" xfId="6" xr:uid="{00000000-0005-0000-0000-000005000000}"/>
    <cellStyle name="currency 0_2007 Oregon Earnings Test Report model" xfId="7" xr:uid="{00000000-0005-0000-0000-000006000000}"/>
    <cellStyle name="Currency0" xfId="8" xr:uid="{00000000-0005-0000-0000-000007000000}"/>
    <cellStyle name="Currency4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idden" xfId="14" xr:uid="{00000000-0005-0000-0000-00000D000000}"/>
    <cellStyle name="hide" xfId="15" xr:uid="{00000000-0005-0000-0000-00000E000000}"/>
    <cellStyle name="Hyperlink" xfId="26" builtinId="8"/>
    <cellStyle name="Normal" xfId="0" builtinId="0"/>
    <cellStyle name="Normal 2" xfId="23" xr:uid="{00000000-0005-0000-0000-000010000000}"/>
    <cellStyle name="Normal 2 13" xfId="24" xr:uid="{00000000-0005-0000-0000-000011000000}"/>
    <cellStyle name="Normal_2006 master state IS allocation" xfId="16" xr:uid="{00000000-0005-0000-0000-000012000000}"/>
    <cellStyle name="Normal_Rev &amp; Cost Model b" xfId="17" xr:uid="{00000000-0005-0000-0000-000014000000}"/>
    <cellStyle name="Outline" xfId="18" xr:uid="{00000000-0005-0000-0000-000015000000}"/>
    <cellStyle name="Percent" xfId="19" builtinId="5"/>
    <cellStyle name="Percent2" xfId="20" xr:uid="{00000000-0005-0000-0000-000017000000}"/>
    <cellStyle name="percent3" xfId="21" xr:uid="{00000000-0005-0000-0000-000018000000}"/>
    <cellStyle name="Total" xfId="22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100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7.bin"/><Relationship Id="rId1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10.bin"/><Relationship Id="rId4" Type="http://schemas.openxmlformats.org/officeDocument/2006/relationships/printerSettings" Target="../printerSettings/printerSettings109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3.bin"/><Relationship Id="rId2" Type="http://schemas.openxmlformats.org/officeDocument/2006/relationships/printerSettings" Target="../printerSettings/printerSettings112.bin"/><Relationship Id="rId1" Type="http://schemas.openxmlformats.org/officeDocument/2006/relationships/printerSettings" Target="../printerSettings/printerSettings111.bin"/><Relationship Id="rId5" Type="http://schemas.openxmlformats.org/officeDocument/2006/relationships/printerSettings" Target="../printerSettings/printerSettings115.bin"/><Relationship Id="rId4" Type="http://schemas.openxmlformats.org/officeDocument/2006/relationships/printerSettings" Target="../printerSettings/printerSettings114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8.bin"/><Relationship Id="rId2" Type="http://schemas.openxmlformats.org/officeDocument/2006/relationships/printerSettings" Target="../printerSettings/printerSettings117.bin"/><Relationship Id="rId1" Type="http://schemas.openxmlformats.org/officeDocument/2006/relationships/printerSettings" Target="../printerSettings/printerSettings116.bin"/><Relationship Id="rId5" Type="http://schemas.openxmlformats.org/officeDocument/2006/relationships/printerSettings" Target="../printerSettings/printerSettings120.bin"/><Relationship Id="rId4" Type="http://schemas.openxmlformats.org/officeDocument/2006/relationships/printerSettings" Target="../printerSettings/printerSettings119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3.bin"/><Relationship Id="rId2" Type="http://schemas.openxmlformats.org/officeDocument/2006/relationships/printerSettings" Target="../printerSettings/printerSettings122.bin"/><Relationship Id="rId1" Type="http://schemas.openxmlformats.org/officeDocument/2006/relationships/printerSettings" Target="../printerSettings/printerSettings121.bin"/><Relationship Id="rId5" Type="http://schemas.openxmlformats.org/officeDocument/2006/relationships/printerSettings" Target="../printerSettings/printerSettings125.bin"/><Relationship Id="rId4" Type="http://schemas.openxmlformats.org/officeDocument/2006/relationships/printerSettings" Target="../printerSettings/printerSettings124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8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3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5.bin"/><Relationship Id="rId4" Type="http://schemas.openxmlformats.org/officeDocument/2006/relationships/printerSettings" Target="../printerSettings/printerSettings13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9" tint="0.39997558519241921"/>
    <pageSetUpPr fitToPage="1"/>
  </sheetPr>
  <dimension ref="A1:N49"/>
  <sheetViews>
    <sheetView showGridLines="0" tabSelected="1" zoomScaleNormal="90" workbookViewId="0">
      <selection activeCell="C35" sqref="C35"/>
    </sheetView>
  </sheetViews>
  <sheetFormatPr defaultColWidth="9.140625" defaultRowHeight="15" x14ac:dyDescent="0.2"/>
  <cols>
    <col min="1" max="1" width="4.7109375" style="1" customWidth="1"/>
    <col min="2" max="2" width="41.7109375" style="1" customWidth="1"/>
    <col min="3" max="4" width="13.7109375" style="8" customWidth="1"/>
    <col min="5" max="5" width="14.5703125" style="8" customWidth="1"/>
    <col min="6" max="6" width="13.7109375" style="8" customWidth="1"/>
    <col min="7" max="9" width="14.7109375" style="8" customWidth="1"/>
    <col min="10" max="10" width="12" style="8" customWidth="1"/>
    <col min="11" max="11" width="15.140625" style="8" bestFit="1" customWidth="1"/>
    <col min="12" max="12" width="11.140625" style="8" customWidth="1"/>
    <col min="13" max="13" width="29.140625" style="8" customWidth="1"/>
    <col min="14" max="16384" width="9.140625" style="8"/>
  </cols>
  <sheetData>
    <row r="1" spans="1:13" s="1" customFormat="1" x14ac:dyDescent="0.2">
      <c r="A1" s="1" t="s">
        <v>0</v>
      </c>
      <c r="E1" s="336"/>
      <c r="F1" s="432"/>
      <c r="G1" s="336"/>
      <c r="H1" s="336"/>
      <c r="K1" s="5" t="s">
        <v>588</v>
      </c>
    </row>
    <row r="2" spans="1:13" s="1" customFormat="1" x14ac:dyDescent="0.2">
      <c r="A2" s="1" t="s">
        <v>2</v>
      </c>
      <c r="E2" s="336"/>
      <c r="F2" s="432"/>
      <c r="G2" s="336"/>
      <c r="H2" s="336"/>
      <c r="K2" s="5" t="s">
        <v>590</v>
      </c>
    </row>
    <row r="3" spans="1:13" s="1" customFormat="1" x14ac:dyDescent="0.2">
      <c r="A3" s="3" t="str">
        <f>+'KTW-3 p1 - Test Year Results'!A3</f>
        <v>Test Year Based on Twelve Months Ended September 30, 2020</v>
      </c>
      <c r="E3" s="336"/>
      <c r="F3" s="433"/>
      <c r="G3" s="434"/>
      <c r="H3" s="435"/>
    </row>
    <row r="4" spans="1:13" s="1" customFormat="1" x14ac:dyDescent="0.2">
      <c r="E4" s="336"/>
      <c r="F4" s="336"/>
      <c r="G4" s="436"/>
      <c r="H4" s="436"/>
      <c r="I4" s="4"/>
    </row>
    <row r="5" spans="1:13" s="1" customFormat="1" ht="15.75" thickBot="1" x14ac:dyDescent="0.25">
      <c r="C5" s="449" t="s">
        <v>286</v>
      </c>
      <c r="D5" s="449"/>
      <c r="E5" s="449"/>
      <c r="F5" s="449"/>
      <c r="G5" s="450"/>
      <c r="H5" s="449"/>
      <c r="I5" s="449"/>
      <c r="J5" s="449"/>
      <c r="K5" s="450"/>
    </row>
    <row r="6" spans="1:13" s="1" customFormat="1" x14ac:dyDescent="0.2">
      <c r="D6" s="5"/>
      <c r="E6" s="5"/>
      <c r="F6" s="5" t="s">
        <v>12</v>
      </c>
      <c r="G6" s="76" t="s">
        <v>519</v>
      </c>
      <c r="H6" s="273"/>
      <c r="I6" s="273"/>
      <c r="J6" s="273" t="s">
        <v>12</v>
      </c>
      <c r="K6" s="76" t="s">
        <v>503</v>
      </c>
    </row>
    <row r="7" spans="1:13" s="1" customFormat="1" x14ac:dyDescent="0.2">
      <c r="A7" s="5" t="s">
        <v>15</v>
      </c>
      <c r="C7" s="5" t="s">
        <v>11</v>
      </c>
      <c r="D7" s="5" t="s">
        <v>502</v>
      </c>
      <c r="E7" s="5" t="s">
        <v>519</v>
      </c>
      <c r="F7" s="5" t="s">
        <v>502</v>
      </c>
      <c r="G7" s="284">
        <f>'KTW-3 p8 - Cost of Cap'!D13</f>
        <v>9.4E-2</v>
      </c>
      <c r="H7" s="6" t="s">
        <v>501</v>
      </c>
      <c r="I7" s="6" t="s">
        <v>503</v>
      </c>
      <c r="J7" s="6" t="s">
        <v>501</v>
      </c>
      <c r="K7" s="284" t="s">
        <v>520</v>
      </c>
    </row>
    <row r="8" spans="1:13" s="1" customFormat="1" x14ac:dyDescent="0.2">
      <c r="A8" s="297" t="s">
        <v>31</v>
      </c>
      <c r="C8" s="297" t="s">
        <v>16</v>
      </c>
      <c r="D8" s="297" t="s">
        <v>32</v>
      </c>
      <c r="E8" s="297" t="s">
        <v>33</v>
      </c>
      <c r="F8" s="297" t="s">
        <v>518</v>
      </c>
      <c r="G8" s="80" t="s">
        <v>35</v>
      </c>
      <c r="H8" s="297" t="s">
        <v>32</v>
      </c>
      <c r="I8" s="297" t="s">
        <v>33</v>
      </c>
      <c r="J8" s="297" t="s">
        <v>518</v>
      </c>
      <c r="K8" s="80" t="s">
        <v>35</v>
      </c>
    </row>
    <row r="9" spans="1:13" s="1" customFormat="1" x14ac:dyDescent="0.2">
      <c r="A9" s="5"/>
      <c r="C9" s="5" t="s">
        <v>55</v>
      </c>
      <c r="D9" s="5" t="s">
        <v>56</v>
      </c>
      <c r="E9" s="5" t="s">
        <v>57</v>
      </c>
      <c r="F9" s="5" t="s">
        <v>58</v>
      </c>
      <c r="G9" s="79" t="s">
        <v>59</v>
      </c>
      <c r="H9" s="5" t="s">
        <v>65</v>
      </c>
      <c r="I9" s="5" t="s">
        <v>66</v>
      </c>
      <c r="J9" s="5" t="s">
        <v>67</v>
      </c>
      <c r="K9" s="79" t="s">
        <v>68</v>
      </c>
    </row>
    <row r="10" spans="1:13" x14ac:dyDescent="0.2">
      <c r="A10" s="5"/>
      <c r="E10" s="9"/>
      <c r="G10" s="81"/>
      <c r="K10" s="81"/>
    </row>
    <row r="11" spans="1:13" x14ac:dyDescent="0.2">
      <c r="A11" s="5"/>
      <c r="B11" s="1" t="s">
        <v>74</v>
      </c>
      <c r="C11" s="10"/>
      <c r="D11" s="10"/>
      <c r="E11" s="10"/>
      <c r="G11" s="285"/>
      <c r="H11" s="10"/>
      <c r="I11" s="10"/>
      <c r="K11" s="81"/>
      <c r="L11" s="257"/>
    </row>
    <row r="12" spans="1:13" x14ac:dyDescent="0.2">
      <c r="A12" s="5">
        <v>1</v>
      </c>
      <c r="B12" s="1" t="s">
        <v>77</v>
      </c>
      <c r="C12" s="11">
        <f>'KTW-4 p3 - Revenue &amp; Gas Cost'!E15+'KTW-4 p3 - Revenue &amp; Gas Cost'!E17</f>
        <v>71678740.359525383</v>
      </c>
      <c r="D12" s="11">
        <f>'KTW-4,5,8 p1 - Adjust Issues'!Z13</f>
        <v>4211997.8242638968</v>
      </c>
      <c r="E12" s="11">
        <f>C12+D12</f>
        <v>75890738.183789283</v>
      </c>
      <c r="F12" s="11">
        <f>D47</f>
        <v>6255809.566815326</v>
      </c>
      <c r="G12" s="82">
        <f>F12+E12</f>
        <v>82146547.750604615</v>
      </c>
      <c r="H12" s="11">
        <f>'KTW-4,5,8 p1 - Adjust Issues'!AB13</f>
        <v>0</v>
      </c>
      <c r="I12" s="11">
        <f>G12+H12</f>
        <v>82146547.750604615</v>
      </c>
      <c r="J12" s="11">
        <f>E47</f>
        <v>3150116.0024598856</v>
      </c>
      <c r="K12" s="82">
        <f>I12+J12</f>
        <v>85296663.753064498</v>
      </c>
    </row>
    <row r="13" spans="1:13" x14ac:dyDescent="0.2">
      <c r="A13" s="5">
        <v>2</v>
      </c>
      <c r="B13" s="1" t="s">
        <v>83</v>
      </c>
      <c r="C13" s="13">
        <f>'KTW-4 p3 - Revenue &amp; Gas Cost'!E25</f>
        <v>2292849.1400000006</v>
      </c>
      <c r="D13" s="13">
        <f>'KTW-4,5,8 p1 - Adjust Issues'!Z14</f>
        <v>149867.33880180493</v>
      </c>
      <c r="E13" s="13">
        <f>C13+D13</f>
        <v>2442716.4788018055</v>
      </c>
      <c r="F13" s="14"/>
      <c r="G13" s="286">
        <f>F13+E13</f>
        <v>2442716.4788018055</v>
      </c>
      <c r="H13" s="14">
        <f>'KTW-4,5,8 p1 - Adjust Issues'!AB14</f>
        <v>0</v>
      </c>
      <c r="I13" s="13">
        <f>G13+H13</f>
        <v>2442716.4788018055</v>
      </c>
      <c r="J13" s="14"/>
      <c r="K13" s="286">
        <f t="shared" ref="K13" si="0">I13+J13</f>
        <v>2442716.4788018055</v>
      </c>
    </row>
    <row r="14" spans="1:13" x14ac:dyDescent="0.2">
      <c r="A14" s="5">
        <v>3</v>
      </c>
      <c r="B14" s="1" t="s">
        <v>87</v>
      </c>
      <c r="C14" s="15">
        <v>-2096028.5439839992</v>
      </c>
      <c r="D14" s="15">
        <f>'KTW-4,5,8 p1 - Adjust Issues'!Z15</f>
        <v>2363456.8723413325</v>
      </c>
      <c r="E14" s="15">
        <f>D14+C14</f>
        <v>267428.32835733332</v>
      </c>
      <c r="F14" s="16"/>
      <c r="G14" s="287">
        <f>F14+E14</f>
        <v>267428.32835733332</v>
      </c>
      <c r="H14" s="16">
        <f>'KTW-4,5,8 p1 - Adjust Issues'!AB15</f>
        <v>0</v>
      </c>
      <c r="I14" s="15">
        <f>H14+G14</f>
        <v>267428.32835733332</v>
      </c>
      <c r="J14" s="16"/>
      <c r="K14" s="287">
        <f>I14+J14</f>
        <v>267428.32835733332</v>
      </c>
    </row>
    <row r="15" spans="1:13" x14ac:dyDescent="0.2">
      <c r="A15" s="5"/>
      <c r="C15" s="13"/>
      <c r="D15" s="13"/>
      <c r="E15" s="13"/>
      <c r="F15" s="14"/>
      <c r="G15" s="286"/>
      <c r="H15" s="14"/>
      <c r="I15" s="13"/>
      <c r="J15" s="14"/>
      <c r="K15" s="286"/>
    </row>
    <row r="16" spans="1:13" x14ac:dyDescent="0.2">
      <c r="A16" s="5">
        <v>4</v>
      </c>
      <c r="B16" s="1" t="s">
        <v>96</v>
      </c>
      <c r="C16" s="13">
        <f t="shared" ref="C16:J16" si="1">SUM(C12:C15)</f>
        <v>71875560.955541387</v>
      </c>
      <c r="D16" s="13">
        <f t="shared" si="1"/>
        <v>6725322.0354070347</v>
      </c>
      <c r="E16" s="13">
        <f t="shared" si="1"/>
        <v>78600882.990948424</v>
      </c>
      <c r="F16" s="14">
        <f>SUM(F12:F15)</f>
        <v>6255809.566815326</v>
      </c>
      <c r="G16" s="286">
        <f t="shared" si="1"/>
        <v>84856692.557763755</v>
      </c>
      <c r="H16" s="14">
        <f t="shared" si="1"/>
        <v>0</v>
      </c>
      <c r="I16" s="13">
        <f t="shared" si="1"/>
        <v>84856692.557763755</v>
      </c>
      <c r="J16" s="14">
        <f t="shared" si="1"/>
        <v>3150116.0024598856</v>
      </c>
      <c r="K16" s="286">
        <f>I16+J16</f>
        <v>88006808.560223639</v>
      </c>
      <c r="M16" s="20"/>
    </row>
    <row r="17" spans="1:14" x14ac:dyDescent="0.2">
      <c r="A17" s="5"/>
      <c r="B17" s="17"/>
      <c r="C17" s="13"/>
      <c r="D17" s="13"/>
      <c r="E17" s="13"/>
      <c r="F17" s="14"/>
      <c r="G17" s="286"/>
      <c r="H17" s="14"/>
      <c r="I17" s="13"/>
      <c r="J17" s="14"/>
      <c r="K17" s="286"/>
      <c r="M17" s="20"/>
    </row>
    <row r="18" spans="1:14" x14ac:dyDescent="0.2">
      <c r="A18" s="5"/>
      <c r="B18" s="1" t="s">
        <v>103</v>
      </c>
      <c r="C18" s="13"/>
      <c r="D18" s="13"/>
      <c r="E18" s="13"/>
      <c r="F18" s="14"/>
      <c r="G18" s="286"/>
      <c r="H18" s="14"/>
      <c r="I18" s="13"/>
      <c r="J18" s="14"/>
      <c r="K18" s="286"/>
      <c r="M18" s="20"/>
    </row>
    <row r="19" spans="1:14" x14ac:dyDescent="0.2">
      <c r="A19" s="5">
        <v>5</v>
      </c>
      <c r="B19" s="1" t="s">
        <v>105</v>
      </c>
      <c r="C19" s="13">
        <f>+'KTW-4 p3 - Revenue &amp; Gas Cost'!E35</f>
        <v>24325146.627437029</v>
      </c>
      <c r="D19" s="13">
        <f>'KTW-4,5,8 p1 - Adjust Issues'!Z20</f>
        <v>4403405.372562971</v>
      </c>
      <c r="E19" s="13">
        <f>C19+D19</f>
        <v>28728552</v>
      </c>
      <c r="F19" s="14"/>
      <c r="G19" s="286">
        <f>F19+E19</f>
        <v>28728552</v>
      </c>
      <c r="H19" s="14">
        <f>'KTW-4,5,8 p1 - Adjust Issues'!AB20</f>
        <v>0</v>
      </c>
      <c r="I19" s="13">
        <f>G19+H19</f>
        <v>28728552</v>
      </c>
      <c r="J19" s="14"/>
      <c r="K19" s="286">
        <f t="shared" ref="K19:K21" si="2">I19+J19</f>
        <v>28728552</v>
      </c>
      <c r="M19" s="410"/>
    </row>
    <row r="20" spans="1:14" x14ac:dyDescent="0.2">
      <c r="A20" s="5">
        <v>6</v>
      </c>
      <c r="B20" s="1" t="s">
        <v>109</v>
      </c>
      <c r="C20" s="13">
        <f>+'KTW-3 p2 &amp; p3 - O&amp;M'!F72</f>
        <v>110387.16508799998</v>
      </c>
      <c r="D20" s="13">
        <f>'KTW-4,5,8 p1 - Adjust Issues'!Z21</f>
        <v>-21698.480458749676</v>
      </c>
      <c r="E20" s="13">
        <f>C20+D20</f>
        <v>88688.684629250303</v>
      </c>
      <c r="F20" s="14">
        <f>D47*'KTW-3 p8 - Cost of Cap'!$C$25</f>
        <v>6560.4945840295159</v>
      </c>
      <c r="G20" s="286">
        <f>F20+E20</f>
        <v>95249.179213279815</v>
      </c>
      <c r="H20" s="14">
        <f>'KTW-4,5,8 p1 - Adjust Issues'!AB21</f>
        <v>0</v>
      </c>
      <c r="I20" s="13">
        <f>G20+H20</f>
        <v>95249.179213279815</v>
      </c>
      <c r="J20" s="14">
        <f>E47*'KTW-3 p8 - Cost of Cap'!$C$25</f>
        <v>3303.5402936223786</v>
      </c>
      <c r="K20" s="286">
        <f t="shared" si="2"/>
        <v>98552.719506902198</v>
      </c>
      <c r="M20" s="20"/>
    </row>
    <row r="21" spans="1:14" x14ac:dyDescent="0.2">
      <c r="A21" s="5">
        <v>7</v>
      </c>
      <c r="B21" s="1" t="s">
        <v>110</v>
      </c>
      <c r="C21" s="15">
        <f>+'KTW-3 p2 &amp; p3 - O&amp;M'!F107-C20</f>
        <v>18749534.194650553</v>
      </c>
      <c r="D21" s="15">
        <f>'KTW-4,5,8 p1 - Adjust Issues'!Z22</f>
        <v>696463.54271876882</v>
      </c>
      <c r="E21" s="15">
        <f>C21+D21</f>
        <v>19445997.737369321</v>
      </c>
      <c r="F21" s="16"/>
      <c r="G21" s="287">
        <f>F21+E21</f>
        <v>19445997.737369321</v>
      </c>
      <c r="H21" s="16">
        <f>'KTW-4,5,8 p1 - Adjust Issues'!AB22</f>
        <v>459931.69999999984</v>
      </c>
      <c r="I21" s="15">
        <f>G21+H21</f>
        <v>19905929.437369321</v>
      </c>
      <c r="J21" s="16"/>
      <c r="K21" s="287">
        <f t="shared" si="2"/>
        <v>19905929.437369321</v>
      </c>
      <c r="M21" s="299"/>
    </row>
    <row r="22" spans="1:14" x14ac:dyDescent="0.2">
      <c r="A22" s="5"/>
      <c r="C22" s="13"/>
      <c r="D22" s="13"/>
      <c r="E22" s="13"/>
      <c r="F22" s="14"/>
      <c r="G22" s="286"/>
      <c r="H22" s="14"/>
      <c r="I22" s="13"/>
      <c r="J22" s="14"/>
      <c r="K22" s="286"/>
      <c r="M22" s="299"/>
    </row>
    <row r="23" spans="1:14" x14ac:dyDescent="0.2">
      <c r="A23" s="5">
        <v>8</v>
      </c>
      <c r="B23" s="1" t="s">
        <v>118</v>
      </c>
      <c r="C23" s="13">
        <f>SUM(C19:C22)</f>
        <v>43185067.987175584</v>
      </c>
      <c r="D23" s="13">
        <f t="shared" ref="D23:J23" si="3">SUM(D18:D21)</f>
        <v>5078170.4348229906</v>
      </c>
      <c r="E23" s="13">
        <f>SUM(E18:E21)</f>
        <v>48263238.421998575</v>
      </c>
      <c r="F23" s="14">
        <f>SUM(F18:F21)</f>
        <v>6560.4945840295159</v>
      </c>
      <c r="G23" s="286">
        <f>SUM(G18:G21)</f>
        <v>48269798.916582599</v>
      </c>
      <c r="H23" s="14">
        <f t="shared" si="3"/>
        <v>459931.69999999984</v>
      </c>
      <c r="I23" s="13">
        <f t="shared" si="3"/>
        <v>48729730.616582602</v>
      </c>
      <c r="J23" s="14">
        <f t="shared" si="3"/>
        <v>3303.5402936223786</v>
      </c>
      <c r="K23" s="286">
        <f>I23+J23</f>
        <v>48733034.156876221</v>
      </c>
      <c r="M23" s="68"/>
    </row>
    <row r="24" spans="1:14" x14ac:dyDescent="0.2">
      <c r="A24" s="5"/>
      <c r="B24" s="2"/>
      <c r="C24" s="13"/>
      <c r="D24" s="13"/>
      <c r="E24" s="13"/>
      <c r="F24" s="14"/>
      <c r="G24" s="286"/>
      <c r="H24" s="14"/>
      <c r="I24" s="13"/>
      <c r="J24" s="14"/>
      <c r="K24" s="286"/>
      <c r="M24" s="68"/>
    </row>
    <row r="25" spans="1:14" x14ac:dyDescent="0.2">
      <c r="A25" s="5"/>
      <c r="C25" s="13"/>
      <c r="D25" s="13"/>
      <c r="E25" s="13"/>
      <c r="F25" s="14"/>
      <c r="G25" s="286"/>
      <c r="H25" s="14"/>
      <c r="I25" s="13"/>
      <c r="J25" s="14"/>
      <c r="K25" s="286"/>
      <c r="M25" s="68"/>
    </row>
    <row r="26" spans="1:14" x14ac:dyDescent="0.2">
      <c r="A26" s="5">
        <v>9</v>
      </c>
      <c r="B26" s="1" t="s">
        <v>123</v>
      </c>
      <c r="C26" s="13">
        <f>+'KTW-3 p5 - Taxes'!C27</f>
        <v>1405065.9371478483</v>
      </c>
      <c r="D26" s="13">
        <f>'KTW-4,5,8 p1 - Adjust Issues'!Z27</f>
        <v>-155881</v>
      </c>
      <c r="E26" s="13">
        <f>C26+D26</f>
        <v>1249184.9371478483</v>
      </c>
      <c r="F26" s="14">
        <f>(D47-F20-F28)*'KTW-3 p8 - Cost of Cap'!$C$43</f>
        <v>1259110.3704026274</v>
      </c>
      <c r="G26" s="286">
        <f>F26+E26</f>
        <v>2508295.3075504759</v>
      </c>
      <c r="H26" s="14">
        <f>'KTW-4,5,8 p1 - Adjust Issues'!AB27</f>
        <v>-371753</v>
      </c>
      <c r="I26" s="13">
        <f>G26+H26</f>
        <v>2136542.3075504759</v>
      </c>
      <c r="J26" s="14">
        <f>(E47-J20-J28)*'KTW-3 p8 - Cost of Cap'!$C$43</f>
        <v>634025.64996678359</v>
      </c>
      <c r="K26" s="286">
        <f t="shared" ref="K26:K29" si="4">I26+J26</f>
        <v>2770567.9575172598</v>
      </c>
      <c r="M26" s="68"/>
    </row>
    <row r="27" spans="1:14" x14ac:dyDescent="0.2">
      <c r="A27" s="5">
        <v>10</v>
      </c>
      <c r="B27" s="1" t="s">
        <v>124</v>
      </c>
      <c r="C27" s="13">
        <v>1671587.02</v>
      </c>
      <c r="D27" s="13">
        <f>'KTW-4,5,8 p1 - Adjust Issues'!Z28</f>
        <v>-50455.099999999067</v>
      </c>
      <c r="E27" s="13">
        <f>C27+D27</f>
        <v>1621131.9200000009</v>
      </c>
      <c r="F27" s="14">
        <v>0</v>
      </c>
      <c r="G27" s="286">
        <f>F27+E27</f>
        <v>1621131.9200000009</v>
      </c>
      <c r="H27" s="14">
        <f>'KTW-4,5,8 p1 - Adjust Issues'!AB28</f>
        <v>0</v>
      </c>
      <c r="I27" s="13">
        <f>G27+H27</f>
        <v>1621131.9200000009</v>
      </c>
      <c r="J27" s="14">
        <v>0</v>
      </c>
      <c r="K27" s="286">
        <f t="shared" si="4"/>
        <v>1621131.9200000009</v>
      </c>
      <c r="M27" s="68"/>
    </row>
    <row r="28" spans="1:14" x14ac:dyDescent="0.2">
      <c r="A28" s="5">
        <v>11</v>
      </c>
      <c r="B28" s="1" t="s">
        <v>128</v>
      </c>
      <c r="C28" s="13">
        <v>3814799.1242389199</v>
      </c>
      <c r="D28" s="13">
        <f>'KTW-4,5,8 p1 - Adjust Issues'!Z29</f>
        <v>303465.71495786763</v>
      </c>
      <c r="E28" s="13">
        <f>C28+D28</f>
        <v>4118264.8391967877</v>
      </c>
      <c r="F28" s="14">
        <f>D47*(+'KTW-3 p8 - Cost of Cap'!$C$26+'KTW-3 p8 - Cost of Cap'!$C$27)</f>
        <v>253485.40364735702</v>
      </c>
      <c r="G28" s="286">
        <f>F28+E28</f>
        <v>4371750.2428441448</v>
      </c>
      <c r="H28" s="14">
        <f>'KTW-4,5,8 p1 - Adjust Issues'!AB29</f>
        <v>0</v>
      </c>
      <c r="I28" s="13">
        <f>G28+H28</f>
        <v>4371750.2428441448</v>
      </c>
      <c r="J28" s="14">
        <f>E47*(+'KTW-3 p8 - Cost of Cap'!$C$26+'KTW-3 p8 - Cost of Cap'!$C$27)</f>
        <v>127642.70041967457</v>
      </c>
      <c r="K28" s="286">
        <f t="shared" si="4"/>
        <v>4499392.9432638194</v>
      </c>
      <c r="M28" s="68"/>
    </row>
    <row r="29" spans="1:14" x14ac:dyDescent="0.2">
      <c r="A29" s="5">
        <v>12</v>
      </c>
      <c r="B29" s="1" t="s">
        <v>129</v>
      </c>
      <c r="C29" s="15">
        <v>10935860.024140656</v>
      </c>
      <c r="D29" s="15">
        <f>'KTW-4,5,8 p1 - Adjust Issues'!Z30</f>
        <v>1535700.9412241259</v>
      </c>
      <c r="E29" s="15">
        <f>C29+D29</f>
        <v>12471560.965364782</v>
      </c>
      <c r="F29" s="16">
        <v>0</v>
      </c>
      <c r="G29" s="287">
        <f>F29+E29</f>
        <v>12471560.965364782</v>
      </c>
      <c r="H29" s="16">
        <f>'KTW-4,5,8 p1 - Adjust Issues'!AB30</f>
        <v>816145.51874545321</v>
      </c>
      <c r="I29" s="15">
        <f>G29+H29</f>
        <v>13287706.484110236</v>
      </c>
      <c r="J29" s="16">
        <v>0</v>
      </c>
      <c r="K29" s="287">
        <f t="shared" si="4"/>
        <v>13287706.484110236</v>
      </c>
      <c r="M29" s="68"/>
    </row>
    <row r="30" spans="1:14" x14ac:dyDescent="0.2">
      <c r="A30" s="5"/>
      <c r="C30" s="13"/>
      <c r="D30" s="13"/>
      <c r="E30" s="13"/>
      <c r="F30" s="14"/>
      <c r="G30" s="286"/>
      <c r="H30" s="14"/>
      <c r="I30" s="13"/>
      <c r="J30" s="14"/>
      <c r="K30" s="286"/>
      <c r="M30" s="68"/>
    </row>
    <row r="31" spans="1:14" x14ac:dyDescent="0.2">
      <c r="A31" s="5">
        <v>13</v>
      </c>
      <c r="B31" s="1" t="s">
        <v>132</v>
      </c>
      <c r="C31" s="15">
        <f>SUM(C23:C30)</f>
        <v>61012380.092703015</v>
      </c>
      <c r="D31" s="15">
        <f t="shared" ref="D31:J31" si="5">SUM(D23:D30)</f>
        <v>6711000.9910049858</v>
      </c>
      <c r="E31" s="15">
        <f>SUM(E23:E30)</f>
        <v>67723381.083707988</v>
      </c>
      <c r="F31" s="16">
        <f t="shared" si="5"/>
        <v>1519156.2686340138</v>
      </c>
      <c r="G31" s="287">
        <f>SUM(G23:G30)</f>
        <v>69242537.352341995</v>
      </c>
      <c r="H31" s="16">
        <f t="shared" si="5"/>
        <v>904324.21874545305</v>
      </c>
      <c r="I31" s="15">
        <f t="shared" si="5"/>
        <v>70146861.57108745</v>
      </c>
      <c r="J31" s="16">
        <f t="shared" si="5"/>
        <v>764971.89068008051</v>
      </c>
      <c r="K31" s="287">
        <f>I31+J31</f>
        <v>70911833.461767524</v>
      </c>
      <c r="M31" s="68"/>
    </row>
    <row r="32" spans="1:14" x14ac:dyDescent="0.2">
      <c r="A32" s="5"/>
      <c r="G32" s="81"/>
      <c r="K32" s="81"/>
      <c r="M32" s="68"/>
      <c r="N32" s="68"/>
    </row>
    <row r="33" spans="1:14" ht="15.75" thickBot="1" x14ac:dyDescent="0.25">
      <c r="A33" s="5">
        <v>14</v>
      </c>
      <c r="B33" s="1" t="s">
        <v>136</v>
      </c>
      <c r="C33" s="18">
        <f>C16-C31</f>
        <v>10863180.862838373</v>
      </c>
      <c r="D33" s="18">
        <f>D16-D31</f>
        <v>14321.044402048923</v>
      </c>
      <c r="E33" s="18">
        <f>E16-E31</f>
        <v>10877501.907240435</v>
      </c>
      <c r="F33" s="18">
        <f>F16-F31</f>
        <v>4736653.2981813122</v>
      </c>
      <c r="G33" s="288">
        <f>G16-G31</f>
        <v>15614155.205421761</v>
      </c>
      <c r="H33" s="18">
        <f t="shared" ref="H33:J33" si="6">H16-H31</f>
        <v>-904324.21874545305</v>
      </c>
      <c r="I33" s="18">
        <f t="shared" si="6"/>
        <v>14709830.986676306</v>
      </c>
      <c r="J33" s="18">
        <f t="shared" si="6"/>
        <v>2385144.1117798053</v>
      </c>
      <c r="K33" s="288">
        <f>I33+J33</f>
        <v>17094975.098456111</v>
      </c>
      <c r="M33" s="68"/>
      <c r="N33" s="68"/>
    </row>
    <row r="34" spans="1:14" ht="15.75" thickTop="1" x14ac:dyDescent="0.2">
      <c r="A34" s="5"/>
      <c r="C34" s="19"/>
      <c r="D34" s="19"/>
      <c r="E34" s="19"/>
      <c r="F34" s="19"/>
      <c r="G34" s="289"/>
      <c r="H34" s="19"/>
      <c r="I34" s="19"/>
      <c r="J34" s="19"/>
      <c r="K34" s="289"/>
      <c r="M34" s="68"/>
      <c r="N34" s="68"/>
    </row>
    <row r="35" spans="1:14" ht="15.75" thickBot="1" x14ac:dyDescent="0.25">
      <c r="A35" s="5">
        <v>15</v>
      </c>
      <c r="B35" s="1" t="s">
        <v>139</v>
      </c>
      <c r="C35" s="324">
        <f>'KTW-3 p6 &amp; p7 - Rate Base'!Q86</f>
        <v>194666558.94072384</v>
      </c>
      <c r="D35" s="18">
        <f>'KTW-4,5,8 p1 - Adjust Issues'!Z47</f>
        <v>31200184.051474877</v>
      </c>
      <c r="E35" s="18">
        <f>C35+D35</f>
        <v>225866742.99219871</v>
      </c>
      <c r="F35" s="18">
        <v>0</v>
      </c>
      <c r="G35" s="290">
        <f>F35+E35</f>
        <v>225866742.99219871</v>
      </c>
      <c r="H35" s="30">
        <f>'KTW-4,5,8 p1 - Adjust Issues'!AB47</f>
        <v>21420708.367492773</v>
      </c>
      <c r="I35" s="18">
        <f>G35+H35</f>
        <v>247287451.35969147</v>
      </c>
      <c r="J35" s="30">
        <v>0</v>
      </c>
      <c r="K35" s="290">
        <f>I35+J35</f>
        <v>247287451.35969147</v>
      </c>
      <c r="M35" s="68"/>
      <c r="N35" s="68"/>
    </row>
    <row r="36" spans="1:14" ht="15.75" thickTop="1" x14ac:dyDescent="0.2">
      <c r="A36" s="5"/>
      <c r="C36" s="11"/>
      <c r="D36" s="11"/>
      <c r="E36" s="11"/>
      <c r="F36" s="11"/>
      <c r="G36" s="82"/>
      <c r="H36" s="11"/>
      <c r="I36" s="11"/>
      <c r="K36" s="81"/>
    </row>
    <row r="37" spans="1:14" x14ac:dyDescent="0.2">
      <c r="A37" s="5"/>
      <c r="D37" s="20"/>
      <c r="G37" s="81"/>
      <c r="K37" s="81"/>
    </row>
    <row r="38" spans="1:14" ht="15.75" thickBot="1" x14ac:dyDescent="0.25">
      <c r="A38" s="5">
        <v>16</v>
      </c>
      <c r="B38" s="1" t="s">
        <v>143</v>
      </c>
      <c r="C38" s="21">
        <f>ROUND(+C33/C35,5)</f>
        <v>5.5800000000000002E-2</v>
      </c>
      <c r="D38" s="20"/>
      <c r="E38" s="21">
        <f>ROUND(+E33/E35,5)</f>
        <v>4.8160000000000001E-2</v>
      </c>
      <c r="F38" s="20"/>
      <c r="G38" s="381">
        <f>'KTW-3 p8 - Cost of Cap'!$E$15</f>
        <v>6.9129999999999997E-2</v>
      </c>
      <c r="H38" s="281"/>
      <c r="I38" s="21">
        <f>ROUND(+I33/I35,5)</f>
        <v>5.9479999999999998E-2</v>
      </c>
      <c r="J38" s="22"/>
      <c r="K38" s="381">
        <f>'KTW-3 p8 - Cost of Cap'!$E$15</f>
        <v>6.9129999999999997E-2</v>
      </c>
      <c r="L38" s="9"/>
    </row>
    <row r="39" spans="1:14" ht="15.75" thickTop="1" x14ac:dyDescent="0.2">
      <c r="A39" s="5"/>
      <c r="C39" s="22"/>
      <c r="D39" s="20"/>
      <c r="E39" s="22"/>
      <c r="F39" s="20"/>
      <c r="G39" s="291"/>
      <c r="H39" s="22"/>
      <c r="I39" s="22"/>
      <c r="K39" s="291"/>
    </row>
    <row r="40" spans="1:14" ht="15.75" thickBot="1" x14ac:dyDescent="0.25">
      <c r="A40" s="5">
        <v>17</v>
      </c>
      <c r="B40" s="1" t="s">
        <v>146</v>
      </c>
      <c r="C40" s="21">
        <f>((+C38-'KTW-3 p8 - Cost of Cap'!$E$11-'KTW-3 p8 - Cost of Cap'!$E$12)/'KTW-3 p8 - Cost of Cap'!$C$13)</f>
        <v>6.6795918367346954E-2</v>
      </c>
      <c r="D40" s="20"/>
      <c r="E40" s="21">
        <f>((+E38-'KTW-3 p8 - Cost of Cap'!$E$11-'KTW-3 p8 - Cost of Cap'!$E$12)/'KTW-3 p8 - Cost of Cap'!$C$13)</f>
        <v>5.1204081632653067E-2</v>
      </c>
      <c r="F40" s="20"/>
      <c r="G40" s="292">
        <f>((+G38-'KTW-3 p8 - Cost of Cap'!$E$11-'KTW-3 p8 - Cost of Cap'!$E$12)/'KTW-3 p8 - Cost of Cap'!$C$13)</f>
        <v>9.4000000000000014E-2</v>
      </c>
      <c r="H40" s="281"/>
      <c r="I40" s="21">
        <f>((+I38-'KTW-3 p8 - Cost of Cap'!$E$11-'KTW-3 p8 - Cost of Cap'!$E$12)/'KTW-3 p8 - Cost of Cap'!$C$13)</f>
        <v>7.4306122448979592E-2</v>
      </c>
      <c r="K40" s="292">
        <f>((+K38-'KTW-3 p8 - Cost of Cap'!$E$11-'KTW-3 p8 - Cost of Cap'!$E$12)/'KTW-3 p8 - Cost of Cap'!$C$13)</f>
        <v>9.4000000000000014E-2</v>
      </c>
    </row>
    <row r="41" spans="1:14" ht="15.75" thickTop="1" x14ac:dyDescent="0.2">
      <c r="F41" s="20"/>
    </row>
    <row r="43" spans="1:14" x14ac:dyDescent="0.2">
      <c r="A43" s="5"/>
    </row>
    <row r="44" spans="1:14" x14ac:dyDescent="0.2">
      <c r="A44" s="5"/>
      <c r="B44" s="1" t="s">
        <v>164</v>
      </c>
      <c r="D44" s="158" t="s">
        <v>502</v>
      </c>
      <c r="E44" s="158" t="s">
        <v>501</v>
      </c>
      <c r="G44" s="24"/>
      <c r="H44" s="24"/>
      <c r="I44" s="24"/>
    </row>
    <row r="45" spans="1:14" x14ac:dyDescent="0.2">
      <c r="A45" s="5">
        <v>1</v>
      </c>
      <c r="B45" s="1" t="s">
        <v>553</v>
      </c>
      <c r="D45" s="68">
        <f>G35*G38</f>
        <v>15614167.943050696</v>
      </c>
      <c r="E45" s="68">
        <f>K35*K38</f>
        <v>17094981.512495469</v>
      </c>
      <c r="G45" s="24"/>
      <c r="H45" s="24"/>
      <c r="I45" s="24"/>
    </row>
    <row r="46" spans="1:14" x14ac:dyDescent="0.2">
      <c r="A46" s="5">
        <v>2</v>
      </c>
      <c r="B46" s="1" t="s">
        <v>165</v>
      </c>
      <c r="D46" s="68">
        <f>D45-E33</f>
        <v>4736666.0358102601</v>
      </c>
      <c r="E46" s="68">
        <f>E45-I33</f>
        <v>2385150.5258191638</v>
      </c>
    </row>
    <row r="47" spans="1:14" x14ac:dyDescent="0.2">
      <c r="A47" s="5">
        <v>3</v>
      </c>
      <c r="B47" s="1" t="s">
        <v>166</v>
      </c>
      <c r="D47" s="68">
        <f>D46*'KTW-3 p8 - Cost of Cap'!$C$39</f>
        <v>6255809.566815326</v>
      </c>
      <c r="E47" s="68">
        <f>E46*'KTW-3 p8 - Cost of Cap'!$C$39</f>
        <v>3150116.0024598856</v>
      </c>
    </row>
    <row r="48" spans="1:14" x14ac:dyDescent="0.2">
      <c r="A48" s="5"/>
      <c r="D48" s="68"/>
      <c r="E48" s="68"/>
    </row>
    <row r="49" spans="1:5" x14ac:dyDescent="0.2">
      <c r="A49" s="5">
        <v>4</v>
      </c>
      <c r="B49" s="1" t="s">
        <v>167</v>
      </c>
      <c r="D49" s="380">
        <f>G33/G35</f>
        <v>6.9129943605558006E-2</v>
      </c>
      <c r="E49" s="380">
        <f>K33/K35</f>
        <v>6.9129974062414709E-2</v>
      </c>
    </row>
  </sheetData>
  <customSheetViews>
    <customSheetView guid="{A7BD13BF-7E57-44D7-9B02-43E2FA430390}" showPageBreaks="1" showGridLines="0" fitToPage="1" printArea="1">
      <selection activeCell="L24" sqref="L24"/>
      <pageMargins left="0.5" right="0.5" top="0.5" bottom="0.5" header="0.25" footer="0.25"/>
      <printOptions horizontalCentered="1"/>
      <pageSetup scale="91" orientation="landscape" r:id="rId1"/>
      <headerFooter alignWithMargins="0"/>
    </customSheetView>
    <customSheetView guid="{C29552AC-6B79-447F-B962-713ED43BDF1A}" showPageBreaks="1" fitToPage="1" printArea="1">
      <selection activeCell="H45" sqref="H45"/>
      <pageMargins left="0.5" right="0.5" top="0.5" bottom="0.5" header="0.25" footer="0.25"/>
      <printOptions horizontalCentered="1"/>
      <pageSetup scale="91" orientation="landscape" r:id="rId2"/>
      <headerFooter alignWithMargins="0"/>
    </customSheetView>
    <customSheetView guid="{6ED201AA-AB2E-4FE7-B06B-B07932512C4D}" showPageBreaks="1" fitToPage="1" printArea="1">
      <selection activeCell="M28" sqref="M28"/>
      <pageMargins left="0.5" right="0.5" top="0.5" bottom="0.5" header="0.25" footer="0.25"/>
      <printOptions horizontalCentered="1"/>
      <pageSetup scale="91" orientation="landscape" r:id="rId3"/>
      <headerFooter alignWithMargins="0"/>
    </customSheetView>
    <customSheetView guid="{D711E10B-9441-4991-A2CB-ED400E35790D}" showGridLines="0" fitToPage="1">
      <selection activeCell="C28" sqref="C28"/>
      <pageMargins left="0.5" right="0.5" top="0.5" bottom="0.5" header="0.25" footer="0.25"/>
      <printOptions horizontalCentered="1"/>
      <pageSetup scale="91" orientation="landscape" r:id="rId4"/>
      <headerFooter alignWithMargins="0"/>
    </customSheetView>
  </customSheetViews>
  <mergeCells count="1">
    <mergeCell ref="C5:K5"/>
  </mergeCells>
  <phoneticPr fontId="0" type="noConversion"/>
  <printOptions horizontalCentered="1"/>
  <pageMargins left="0.5" right="0.5" top="0.5" bottom="0.5" header="0.25" footer="0.25"/>
  <pageSetup scale="75" orientation="landscape" r:id="rId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8">
    <tabColor theme="4" tint="0.59999389629810485"/>
    <pageSetUpPr fitToPage="1"/>
  </sheetPr>
  <dimension ref="A1:L38"/>
  <sheetViews>
    <sheetView zoomScale="9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E31" sqref="E31:E33"/>
    </sheetView>
  </sheetViews>
  <sheetFormatPr defaultColWidth="8.85546875" defaultRowHeight="15" outlineLevelCol="1" x14ac:dyDescent="0.2"/>
  <cols>
    <col min="1" max="1" width="5.7109375" style="35" customWidth="1"/>
    <col min="2" max="2" width="43.7109375" style="35" customWidth="1"/>
    <col min="3" max="5" width="17.5703125" style="35" customWidth="1" outlineLevel="1"/>
    <col min="6" max="6" width="6.7109375" style="35" customWidth="1"/>
    <col min="7" max="9" width="17.5703125" style="35" customWidth="1"/>
    <col min="10" max="10" width="4.7109375" style="36" customWidth="1"/>
    <col min="11" max="11" width="17.7109375" style="36" customWidth="1"/>
    <col min="12" max="12" width="11.42578125" style="36" customWidth="1"/>
    <col min="13" max="13" width="52.7109375" style="36" bestFit="1" customWidth="1"/>
    <col min="14" max="14" width="8.85546875" style="36"/>
    <col min="15" max="15" width="12.5703125" style="36" customWidth="1"/>
    <col min="16" max="17" width="8.85546875" style="36"/>
    <col min="18" max="20" width="11.5703125" style="36" customWidth="1"/>
    <col min="21" max="16384" width="8.85546875" style="36"/>
  </cols>
  <sheetData>
    <row r="1" spans="1:11" s="92" customFormat="1" ht="12" customHeight="1" x14ac:dyDescent="0.2">
      <c r="A1" s="90" t="s">
        <v>0</v>
      </c>
      <c r="B1" s="34"/>
      <c r="C1" s="34"/>
      <c r="D1" s="34"/>
      <c r="E1" s="34"/>
      <c r="F1" s="34"/>
      <c r="G1" s="91"/>
      <c r="H1" s="91"/>
      <c r="I1" s="384" t="s">
        <v>593</v>
      </c>
      <c r="K1" s="93"/>
    </row>
    <row r="2" spans="1:11" s="92" customFormat="1" x14ac:dyDescent="0.2">
      <c r="A2" s="94" t="str">
        <f>+'KTW-4,5,8 p1 - Adjust Issues'!A3</f>
        <v>Test Year Based on Twelve Months Ended September 30, 2020</v>
      </c>
      <c r="B2" s="34"/>
      <c r="C2" s="34"/>
      <c r="D2" s="34"/>
      <c r="E2" s="34"/>
      <c r="F2" s="34"/>
      <c r="G2" s="91"/>
      <c r="H2" s="91"/>
      <c r="I2" s="384" t="s">
        <v>613</v>
      </c>
    </row>
    <row r="3" spans="1:11" s="92" customFormat="1" x14ac:dyDescent="0.2">
      <c r="A3" s="90" t="s">
        <v>237</v>
      </c>
      <c r="B3" s="34"/>
      <c r="C3" s="34"/>
      <c r="D3" s="34"/>
      <c r="E3" s="34"/>
      <c r="F3" s="34"/>
      <c r="G3" s="91"/>
      <c r="H3" s="91"/>
      <c r="I3" s="91"/>
    </row>
    <row r="4" spans="1:11" s="92" customFormat="1" x14ac:dyDescent="0.2">
      <c r="A4" s="90"/>
      <c r="B4" s="34"/>
      <c r="C4" s="34"/>
      <c r="D4" s="34"/>
      <c r="E4" s="34"/>
      <c r="F4" s="34"/>
      <c r="G4" s="91"/>
      <c r="H4" s="91"/>
      <c r="I4" s="91"/>
    </row>
    <row r="5" spans="1:11" s="92" customFormat="1" x14ac:dyDescent="0.2">
      <c r="A5" s="95"/>
      <c r="B5" s="34"/>
      <c r="C5" s="452" t="s">
        <v>63</v>
      </c>
      <c r="D5" s="452"/>
      <c r="E5" s="452"/>
      <c r="F5" s="34"/>
      <c r="G5" s="452" t="s">
        <v>47</v>
      </c>
      <c r="H5" s="452"/>
      <c r="I5" s="452"/>
    </row>
    <row r="6" spans="1:11" s="92" customFormat="1" x14ac:dyDescent="0.2">
      <c r="A6" s="91"/>
      <c r="B6" s="91"/>
      <c r="C6" s="37" t="s">
        <v>407</v>
      </c>
      <c r="D6" s="96" t="s">
        <v>459</v>
      </c>
      <c r="E6" s="37" t="s">
        <v>61</v>
      </c>
      <c r="F6" s="91"/>
      <c r="G6" s="37" t="s">
        <v>407</v>
      </c>
      <c r="H6" s="96" t="s">
        <v>459</v>
      </c>
      <c r="I6" s="37" t="s">
        <v>61</v>
      </c>
    </row>
    <row r="7" spans="1:11" s="92" customFormat="1" x14ac:dyDescent="0.2">
      <c r="A7" s="97" t="s">
        <v>61</v>
      </c>
      <c r="B7" s="98"/>
      <c r="C7" s="99" t="s">
        <v>408</v>
      </c>
      <c r="D7" s="100" t="s">
        <v>458</v>
      </c>
      <c r="E7" s="101" t="s">
        <v>409</v>
      </c>
      <c r="F7" s="91"/>
      <c r="G7" s="99" t="s">
        <v>408</v>
      </c>
      <c r="H7" s="100" t="s">
        <v>458</v>
      </c>
      <c r="I7" s="341" t="s">
        <v>409</v>
      </c>
      <c r="K7" s="337" t="s">
        <v>26</v>
      </c>
    </row>
    <row r="8" spans="1:11" s="90" customFormat="1" x14ac:dyDescent="0.2">
      <c r="A8" s="36"/>
      <c r="B8" s="91"/>
      <c r="C8" s="102" t="s">
        <v>55</v>
      </c>
      <c r="D8" s="102" t="s">
        <v>56</v>
      </c>
      <c r="E8" s="102" t="s">
        <v>57</v>
      </c>
      <c r="F8" s="91"/>
      <c r="G8" s="102" t="s">
        <v>58</v>
      </c>
      <c r="H8" s="102" t="s">
        <v>59</v>
      </c>
      <c r="I8" s="102" t="s">
        <v>65</v>
      </c>
      <c r="K8" s="102" t="s">
        <v>66</v>
      </c>
    </row>
    <row r="9" spans="1:11" x14ac:dyDescent="0.2">
      <c r="A9" s="36"/>
      <c r="B9" s="103" t="s">
        <v>410</v>
      </c>
      <c r="C9" s="104"/>
      <c r="D9" s="104"/>
      <c r="E9" s="104"/>
      <c r="F9" s="104"/>
      <c r="G9" s="102"/>
      <c r="H9" s="102"/>
      <c r="I9" s="102"/>
    </row>
    <row r="10" spans="1:11" x14ac:dyDescent="0.2">
      <c r="A10" s="105">
        <v>1</v>
      </c>
      <c r="B10" s="95" t="s">
        <v>80</v>
      </c>
      <c r="C10" s="106">
        <v>53611257</v>
      </c>
      <c r="D10" s="109">
        <f>E10/C10</f>
        <v>0.94423629406786691</v>
      </c>
      <c r="E10" s="108">
        <v>50621694.629999988</v>
      </c>
      <c r="F10" s="95"/>
      <c r="G10" s="42">
        <v>55168219.985745445</v>
      </c>
      <c r="H10" s="109">
        <f>I10/G10</f>
        <v>0.96598891057004743</v>
      </c>
      <c r="I10" s="110">
        <v>53291888.722118959</v>
      </c>
    </row>
    <row r="11" spans="1:11" x14ac:dyDescent="0.2">
      <c r="A11" s="105">
        <f>+A10+1</f>
        <v>2</v>
      </c>
      <c r="B11" s="95" t="s">
        <v>288</v>
      </c>
      <c r="C11" s="106">
        <v>22613504</v>
      </c>
      <c r="D11" s="109">
        <f t="shared" ref="D11:D13" si="0">E11/C11</f>
        <v>0.83617421254132041</v>
      </c>
      <c r="E11" s="108">
        <v>18908828.899999999</v>
      </c>
      <c r="F11" s="95"/>
      <c r="G11" s="42">
        <v>22843758.015181348</v>
      </c>
      <c r="H11" s="109">
        <f t="shared" ref="H11:H13" si="1">I11/G11</f>
        <v>0.86908298613215118</v>
      </c>
      <c r="I11" s="110">
        <v>19853121.430314068</v>
      </c>
    </row>
    <row r="12" spans="1:11" x14ac:dyDescent="0.2">
      <c r="A12" s="105">
        <f>+A11+1</f>
        <v>3</v>
      </c>
      <c r="B12" s="95" t="s">
        <v>289</v>
      </c>
      <c r="C12" s="106">
        <v>3040033</v>
      </c>
      <c r="D12" s="109">
        <f t="shared" si="0"/>
        <v>0.61963651710359724</v>
      </c>
      <c r="E12" s="108">
        <v>1883715.4600000002</v>
      </c>
      <c r="F12" s="95"/>
      <c r="G12" s="42">
        <v>3138417.6</v>
      </c>
      <c r="H12" s="109">
        <f t="shared" si="1"/>
        <v>0.6829137030314214</v>
      </c>
      <c r="I12" s="110">
        <v>2143268.3848749865</v>
      </c>
    </row>
    <row r="13" spans="1:11" x14ac:dyDescent="0.2">
      <c r="A13" s="105">
        <f>+A12+1</f>
        <v>4</v>
      </c>
      <c r="B13" s="95" t="s">
        <v>94</v>
      </c>
      <c r="C13" s="111">
        <v>1228480</v>
      </c>
      <c r="D13" s="109">
        <f t="shared" si="0"/>
        <v>0.44951996776504299</v>
      </c>
      <c r="E13" s="112">
        <v>552226.29</v>
      </c>
      <c r="F13" s="95"/>
      <c r="G13" s="113">
        <v>1260153</v>
      </c>
      <c r="H13" s="109">
        <f t="shared" si="1"/>
        <v>0.47808452345173119</v>
      </c>
      <c r="I13" s="114">
        <v>602459.64648126939</v>
      </c>
    </row>
    <row r="14" spans="1:11" x14ac:dyDescent="0.2">
      <c r="A14" s="36"/>
      <c r="B14" s="115"/>
      <c r="C14" s="106"/>
      <c r="D14" s="116"/>
      <c r="E14" s="108"/>
      <c r="F14" s="115"/>
      <c r="G14" s="42"/>
      <c r="H14" s="117"/>
      <c r="I14" s="110"/>
    </row>
    <row r="15" spans="1:11" x14ac:dyDescent="0.2">
      <c r="A15" s="105">
        <f>+A13+1</f>
        <v>5</v>
      </c>
      <c r="B15" s="118" t="s">
        <v>411</v>
      </c>
      <c r="C15" s="119">
        <f>SUM(C10:C13)</f>
        <v>80493274</v>
      </c>
      <c r="D15" s="107"/>
      <c r="E15" s="120">
        <f>SUM(E10:E13)</f>
        <v>71966465.279999986</v>
      </c>
      <c r="F15" s="118"/>
      <c r="G15" s="41">
        <f>SUM(G10:G14)</f>
        <v>82410548.600926787</v>
      </c>
      <c r="H15" s="109"/>
      <c r="I15" s="121">
        <f>SUM(I10:I14)</f>
        <v>75890738.183789283</v>
      </c>
      <c r="K15" s="121">
        <f>I15-E15</f>
        <v>3924272.9037892967</v>
      </c>
    </row>
    <row r="16" spans="1:11" x14ac:dyDescent="0.2">
      <c r="A16" s="36"/>
      <c r="B16" s="122"/>
      <c r="C16" s="41"/>
      <c r="D16" s="123"/>
      <c r="E16" s="124"/>
      <c r="F16" s="122"/>
      <c r="G16" s="41"/>
      <c r="H16" s="123"/>
      <c r="I16" s="124"/>
      <c r="K16" s="121"/>
    </row>
    <row r="17" spans="1:12" x14ac:dyDescent="0.2">
      <c r="A17" s="105">
        <f>+A15+1</f>
        <v>6</v>
      </c>
      <c r="B17" s="125" t="s">
        <v>277</v>
      </c>
      <c r="C17" s="342">
        <v>-514487.52720094961</v>
      </c>
      <c r="D17" s="36"/>
      <c r="E17" s="343">
        <v>-287724.9204745997</v>
      </c>
      <c r="F17" s="122"/>
      <c r="G17" s="41"/>
      <c r="H17" s="123"/>
      <c r="I17" s="124"/>
      <c r="K17" s="121">
        <f>I17-E17</f>
        <v>287724.9204745997</v>
      </c>
    </row>
    <row r="18" spans="1:12" x14ac:dyDescent="0.2">
      <c r="A18" s="105">
        <f>+A17+1</f>
        <v>7</v>
      </c>
      <c r="B18" s="125" t="s">
        <v>116</v>
      </c>
      <c r="C18" s="126"/>
      <c r="D18" s="36"/>
      <c r="E18" s="338"/>
      <c r="F18" s="126"/>
      <c r="G18" s="41"/>
      <c r="H18" s="123"/>
      <c r="I18" s="124"/>
    </row>
    <row r="19" spans="1:12" x14ac:dyDescent="0.2">
      <c r="A19" s="36"/>
      <c r="B19" s="122"/>
      <c r="C19" s="41"/>
      <c r="D19" s="123"/>
      <c r="E19" s="124"/>
      <c r="F19" s="122"/>
      <c r="G19" s="41"/>
      <c r="H19" s="123"/>
      <c r="I19" s="124"/>
    </row>
    <row r="20" spans="1:12" x14ac:dyDescent="0.2">
      <c r="A20" s="36"/>
      <c r="B20" s="127" t="s">
        <v>412</v>
      </c>
      <c r="C20" s="34"/>
      <c r="D20" s="34"/>
      <c r="E20" s="128"/>
      <c r="F20" s="129"/>
      <c r="G20" s="34"/>
      <c r="H20" s="34"/>
      <c r="I20" s="128"/>
    </row>
    <row r="21" spans="1:12" x14ac:dyDescent="0.2">
      <c r="A21" s="105">
        <f>+A18+1</f>
        <v>8</v>
      </c>
      <c r="B21" s="95" t="s">
        <v>413</v>
      </c>
      <c r="C21" s="42">
        <v>9451637</v>
      </c>
      <c r="D21" s="107"/>
      <c r="E21" s="360">
        <v>1298713.1200000006</v>
      </c>
      <c r="F21" s="95"/>
      <c r="G21" s="42">
        <v>9693126</v>
      </c>
      <c r="H21" s="109">
        <f>I21/G21</f>
        <v>0.14177488289433149</v>
      </c>
      <c r="I21" s="130">
        <v>1374241.8035299999</v>
      </c>
    </row>
    <row r="22" spans="1:12" x14ac:dyDescent="0.2">
      <c r="A22" s="105">
        <f>+A21+1</f>
        <v>9</v>
      </c>
      <c r="B22" s="95" t="s">
        <v>94</v>
      </c>
      <c r="C22" s="42">
        <v>7636298</v>
      </c>
      <c r="D22" s="107"/>
      <c r="E22" s="130">
        <v>751953.68</v>
      </c>
      <c r="F22" s="95"/>
      <c r="G22" s="42">
        <v>8033267</v>
      </c>
      <c r="H22" s="109">
        <f t="shared" ref="H22:H23" si="2">I22/G22</f>
        <v>0.10275770408228682</v>
      </c>
      <c r="I22" s="130">
        <v>825480.07319999998</v>
      </c>
    </row>
    <row r="23" spans="1:12" x14ac:dyDescent="0.2">
      <c r="A23" s="105">
        <f>+A22+1</f>
        <v>10</v>
      </c>
      <c r="B23" s="95" t="s">
        <v>414</v>
      </c>
      <c r="C23" s="42">
        <v>2865982</v>
      </c>
      <c r="D23" s="107"/>
      <c r="E23" s="130">
        <v>242182.33999999997</v>
      </c>
      <c r="F23" s="95"/>
      <c r="G23" s="113">
        <v>2895114</v>
      </c>
      <c r="H23" s="109">
        <f t="shared" si="2"/>
        <v>8.3932654144812921E-2</v>
      </c>
      <c r="I23" s="349">
        <v>242994.60207180592</v>
      </c>
    </row>
    <row r="24" spans="1:12" x14ac:dyDescent="0.2">
      <c r="A24" s="36"/>
      <c r="B24" s="91"/>
      <c r="C24" s="131"/>
      <c r="D24" s="123"/>
      <c r="E24" s="132"/>
      <c r="F24" s="91"/>
      <c r="G24" s="131"/>
      <c r="H24" s="123"/>
      <c r="I24" s="132"/>
    </row>
    <row r="25" spans="1:12" x14ac:dyDescent="0.2">
      <c r="A25" s="105">
        <f>+A23+1</f>
        <v>11</v>
      </c>
      <c r="B25" s="118" t="s">
        <v>415</v>
      </c>
      <c r="C25" s="113">
        <f>SUM(C21:C24)</f>
        <v>19953917</v>
      </c>
      <c r="D25" s="117"/>
      <c r="E25" s="114">
        <f>SUM(E21:E24)</f>
        <v>2292849.1400000006</v>
      </c>
      <c r="F25" s="118"/>
      <c r="G25" s="113">
        <f>SUM(G21:G24)</f>
        <v>20621507</v>
      </c>
      <c r="H25" s="117"/>
      <c r="I25" s="114">
        <f>SUM(I21:I24)</f>
        <v>2442716.4788018055</v>
      </c>
      <c r="K25" s="121">
        <f>I25-E25</f>
        <v>149867.33880180493</v>
      </c>
    </row>
    <row r="26" spans="1:12" x14ac:dyDescent="0.2">
      <c r="A26" s="36"/>
      <c r="B26" s="91"/>
      <c r="C26" s="42"/>
      <c r="D26" s="117"/>
      <c r="E26" s="42"/>
      <c r="F26" s="91"/>
      <c r="G26" s="42"/>
      <c r="H26" s="117"/>
      <c r="I26" s="42"/>
    </row>
    <row r="27" spans="1:12" ht="15.75" thickBot="1" x14ac:dyDescent="0.25">
      <c r="A27" s="105">
        <f>+A25+1</f>
        <v>12</v>
      </c>
      <c r="B27" s="133" t="s">
        <v>416</v>
      </c>
      <c r="C27" s="134">
        <f>C15+C25+C17+C18</f>
        <v>99932703.472799048</v>
      </c>
      <c r="D27" s="123"/>
      <c r="E27" s="135">
        <f>E15+E25+E17</f>
        <v>73971589.499525383</v>
      </c>
      <c r="F27" s="133"/>
      <c r="G27" s="134">
        <f>G15+G25</f>
        <v>103032055.60092679</v>
      </c>
      <c r="H27" s="123"/>
      <c r="I27" s="135">
        <f>I15+I25</f>
        <v>78333454.662591085</v>
      </c>
      <c r="K27" s="121"/>
      <c r="L27" s="121"/>
    </row>
    <row r="28" spans="1:12" ht="15.75" thickTop="1" x14ac:dyDescent="0.2">
      <c r="A28" s="34"/>
      <c r="B28" s="34"/>
      <c r="C28" s="34"/>
      <c r="D28" s="34"/>
      <c r="E28" s="34"/>
      <c r="F28" s="34"/>
    </row>
    <row r="29" spans="1:12" x14ac:dyDescent="0.2">
      <c r="A29" s="97" t="s">
        <v>417</v>
      </c>
      <c r="B29" s="136"/>
      <c r="C29" s="115"/>
      <c r="D29" s="115"/>
      <c r="E29" s="115"/>
      <c r="F29" s="115"/>
      <c r="G29" s="350"/>
      <c r="H29" s="109"/>
      <c r="I29" s="42"/>
      <c r="K29" s="282"/>
    </row>
    <row r="30" spans="1:12" x14ac:dyDescent="0.2">
      <c r="A30" s="137"/>
      <c r="B30" s="122"/>
      <c r="C30" s="122"/>
      <c r="D30" s="122"/>
      <c r="E30" s="122"/>
      <c r="F30" s="122"/>
      <c r="G30" s="34"/>
      <c r="H30" s="109"/>
      <c r="I30" s="42"/>
    </row>
    <row r="31" spans="1:12" x14ac:dyDescent="0.2">
      <c r="A31" s="105">
        <f>+A27+1</f>
        <v>13</v>
      </c>
      <c r="B31" s="137" t="s">
        <v>447</v>
      </c>
      <c r="C31" s="42"/>
      <c r="D31" s="138"/>
      <c r="E31" s="139">
        <v>8418945.7576859985</v>
      </c>
      <c r="F31" s="137"/>
      <c r="G31" s="351"/>
      <c r="H31" s="352"/>
      <c r="I31" s="139">
        <v>7929784</v>
      </c>
      <c r="K31" s="121"/>
    </row>
    <row r="32" spans="1:12" x14ac:dyDescent="0.2">
      <c r="A32" s="105">
        <f>+A31+1</f>
        <v>14</v>
      </c>
      <c r="B32" s="95" t="s">
        <v>448</v>
      </c>
      <c r="C32" s="42"/>
      <c r="D32" s="138"/>
      <c r="E32" s="42">
        <v>15913725.15975103</v>
      </c>
      <c r="F32" s="140"/>
      <c r="G32" s="42"/>
      <c r="H32" s="117"/>
      <c r="I32" s="42">
        <v>20798768</v>
      </c>
      <c r="K32" s="121"/>
    </row>
    <row r="33" spans="1:11" x14ac:dyDescent="0.2">
      <c r="A33" s="105">
        <f>+A32+1</f>
        <v>15</v>
      </c>
      <c r="B33" s="125" t="s">
        <v>406</v>
      </c>
      <c r="C33" s="36"/>
      <c r="D33" s="138"/>
      <c r="E33" s="113">
        <v>-7524.2900000000154</v>
      </c>
      <c r="F33" s="129"/>
      <c r="G33" s="42"/>
      <c r="H33" s="117"/>
      <c r="I33" s="113">
        <v>0</v>
      </c>
      <c r="K33" s="121"/>
    </row>
    <row r="34" spans="1:11" x14ac:dyDescent="0.2">
      <c r="A34" s="36"/>
      <c r="B34" s="36"/>
      <c r="C34" s="36"/>
      <c r="D34" s="36"/>
      <c r="E34" s="36"/>
      <c r="F34" s="36"/>
      <c r="G34" s="36"/>
      <c r="H34" s="36"/>
      <c r="I34" s="36"/>
    </row>
    <row r="35" spans="1:11" ht="15.75" thickBot="1" x14ac:dyDescent="0.25">
      <c r="A35" s="105">
        <f>+A33+1</f>
        <v>16</v>
      </c>
      <c r="B35" s="129" t="s">
        <v>418</v>
      </c>
      <c r="C35" s="141"/>
      <c r="D35" s="36"/>
      <c r="E35" s="135">
        <f>SUM(E31:E34)</f>
        <v>24325146.627437029</v>
      </c>
      <c r="F35" s="36"/>
      <c r="G35" s="36"/>
      <c r="H35" s="36"/>
      <c r="I35" s="135">
        <f>SUM(I31:I34)</f>
        <v>28728552</v>
      </c>
      <c r="K35" s="121">
        <f>I35-E35</f>
        <v>4403405.372562971</v>
      </c>
    </row>
    <row r="36" spans="1:11" ht="15.75" thickTop="1" x14ac:dyDescent="0.2">
      <c r="A36" s="36"/>
      <c r="B36" s="36"/>
      <c r="C36" s="142"/>
      <c r="D36" s="143"/>
      <c r="E36" s="36"/>
      <c r="F36" s="137"/>
      <c r="G36" s="36"/>
      <c r="H36" s="36"/>
      <c r="I36" s="36"/>
    </row>
    <row r="37" spans="1:11" ht="15.75" thickBot="1" x14ac:dyDescent="0.25">
      <c r="A37" s="105">
        <f>+A35+1</f>
        <v>17</v>
      </c>
      <c r="B37" s="137" t="s">
        <v>419</v>
      </c>
      <c r="C37" s="142"/>
      <c r="D37" s="143"/>
      <c r="E37" s="135">
        <f>+E27-E35</f>
        <v>49646442.872088358</v>
      </c>
      <c r="I37" s="135">
        <f>I27-I35</f>
        <v>49604902.662591085</v>
      </c>
      <c r="K37" s="121"/>
    </row>
    <row r="38" spans="1:11" ht="15.75" thickTop="1" x14ac:dyDescent="0.2">
      <c r="A38" s="105"/>
      <c r="B38" s="36"/>
      <c r="C38" s="36"/>
      <c r="D38" s="36"/>
      <c r="E38" s="36"/>
      <c r="F38" s="36"/>
      <c r="G38" s="36"/>
      <c r="H38" s="36"/>
      <c r="I38" s="36"/>
    </row>
  </sheetData>
  <customSheetViews>
    <customSheetView guid="{A7BD13BF-7E57-44D7-9B02-43E2FA430390}" scale="90" showPageBreaks="1" fitToPage="1" printArea="1">
      <selection activeCell="K35" sqref="K35"/>
      <pageMargins left="0.5" right="0.5" top="0.5" bottom="0.5" header="0.25" footer="0.25"/>
      <printOptions horizontalCentered="1"/>
      <pageSetup scale="70" orientation="landscape" r:id="rId1"/>
      <headerFooter alignWithMargins="0"/>
    </customSheetView>
    <customSheetView guid="{C29552AC-6B79-447F-B962-713ED43BDF1A}" scale="90" showPageBreaks="1" fitToPage="1" printArea="1">
      <selection activeCell="M13" sqref="M13"/>
      <pageMargins left="0.5" right="0.5" top="0.5" bottom="0.5" header="0.25" footer="0.25"/>
      <printOptions horizontalCentered="1"/>
      <pageSetup scale="70" orientation="landscape" r:id="rId2"/>
      <headerFooter alignWithMargins="0"/>
    </customSheetView>
    <customSheetView guid="{6ED201AA-AB2E-4FE7-B06B-B07932512C4D}" scale="90" showPageBreaks="1" fitToPage="1" printArea="1">
      <selection activeCell="H32" sqref="H32"/>
      <pageMargins left="0.5" right="0.5" top="0.5" bottom="0.5" header="0.25" footer="0.25"/>
      <printOptions horizontalCentered="1"/>
      <pageSetup scale="70" orientation="landscape" r:id="rId3"/>
      <headerFooter alignWithMargins="0"/>
    </customSheetView>
    <customSheetView guid="{D711E10B-9441-4991-A2CB-ED400E35790D}" scale="90" fitToPage="1">
      <selection activeCell="K35" sqref="K35"/>
      <pageMargins left="0.5" right="0.5" top="0.5" bottom="0.5" header="0.25" footer="0.25"/>
      <printOptions horizontalCentered="1"/>
      <pageSetup scale="70" orientation="landscape" r:id="rId4"/>
      <headerFooter alignWithMargins="0"/>
    </customSheetView>
  </customSheetViews>
  <mergeCells count="2">
    <mergeCell ref="C5:E5"/>
    <mergeCell ref="G5:I5"/>
  </mergeCells>
  <phoneticPr fontId="7" type="noConversion"/>
  <printOptions horizontalCentered="1"/>
  <pageMargins left="0.5" right="0.5" top="0.5" bottom="0.5" header="0.25" footer="0.25"/>
  <pageSetup scale="70" orientation="landscape" r:id="rId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9">
    <tabColor theme="4" tint="0.59999389629810485"/>
    <pageSetUpPr fitToPage="1"/>
  </sheetPr>
  <dimension ref="A1:M253"/>
  <sheetViews>
    <sheetView showGridLines="0" zoomScale="90" zoomScaleNormal="100" workbookViewId="0">
      <selection activeCell="G19" sqref="G19"/>
    </sheetView>
  </sheetViews>
  <sheetFormatPr defaultColWidth="9.140625" defaultRowHeight="15" x14ac:dyDescent="0.2"/>
  <cols>
    <col min="1" max="1" width="7.140625" style="1" customWidth="1"/>
    <col min="2" max="2" width="49.42578125" style="1" customWidth="1"/>
    <col min="3" max="5" width="13.7109375" style="8" customWidth="1"/>
    <col min="6" max="6" width="10" style="8" customWidth="1"/>
    <col min="7" max="7" width="50" style="20" customWidth="1"/>
    <col min="8" max="10" width="12.7109375" style="20" customWidth="1"/>
    <col min="11" max="11" width="3" style="20" customWidth="1"/>
    <col min="12" max="12" width="12.7109375" style="20" customWidth="1"/>
    <col min="13" max="13" width="29.28515625" style="299" customWidth="1"/>
    <col min="14" max="16384" width="9.140625" style="8"/>
  </cols>
  <sheetData>
    <row r="1" spans="1:13" s="1" customFormat="1" x14ac:dyDescent="0.2">
      <c r="A1" s="1" t="str">
        <f>+'KTW-3 p1 - Test Year Results'!A1</f>
        <v>NW Natural</v>
      </c>
      <c r="C1" s="5"/>
      <c r="D1" s="5"/>
      <c r="E1" s="384" t="s">
        <v>593</v>
      </c>
      <c r="G1" s="20"/>
      <c r="H1" s="20"/>
      <c r="I1" s="20"/>
      <c r="J1" s="20"/>
      <c r="K1" s="20"/>
      <c r="L1" s="43"/>
      <c r="M1" s="431"/>
    </row>
    <row r="2" spans="1:13" s="1" customFormat="1" x14ac:dyDescent="0.2">
      <c r="A2" s="1" t="str">
        <f>+'KTW-3 p1 - Test Year Results'!A2</f>
        <v>Washington Rate Case</v>
      </c>
      <c r="C2" s="5"/>
      <c r="D2" s="5"/>
      <c r="E2" s="384" t="s">
        <v>591</v>
      </c>
      <c r="F2" s="5"/>
      <c r="G2" s="20"/>
      <c r="H2" s="20"/>
      <c r="I2" s="20"/>
      <c r="J2" s="20"/>
      <c r="K2" s="20"/>
      <c r="L2" s="43"/>
      <c r="M2" s="431"/>
    </row>
    <row r="3" spans="1:13" s="1" customFormat="1" x14ac:dyDescent="0.2">
      <c r="A3" s="1" t="str">
        <f>+'KTW-3 p1 - Test Year Results'!A3</f>
        <v>Test Year Based on Twelve Months Ended September 30, 2020</v>
      </c>
      <c r="C3" s="5"/>
      <c r="D3" s="5"/>
      <c r="E3" s="144"/>
      <c r="F3" s="144"/>
      <c r="G3" s="20"/>
      <c r="H3" s="20"/>
      <c r="I3" s="20"/>
      <c r="J3" s="20"/>
      <c r="K3" s="20"/>
      <c r="L3" s="43"/>
      <c r="M3" s="431"/>
    </row>
    <row r="4" spans="1:13" s="1" customFormat="1" x14ac:dyDescent="0.2">
      <c r="A4" s="1" t="s">
        <v>257</v>
      </c>
      <c r="C4" s="5"/>
      <c r="D4" s="5"/>
      <c r="E4" s="145"/>
      <c r="F4" s="145"/>
      <c r="G4" s="20"/>
      <c r="H4" s="20"/>
      <c r="I4" s="20"/>
      <c r="J4" s="20"/>
      <c r="K4" s="20"/>
      <c r="L4" s="43"/>
      <c r="M4" s="431"/>
    </row>
    <row r="5" spans="1:13" s="1" customFormat="1" x14ac:dyDescent="0.2">
      <c r="C5" s="5"/>
      <c r="D5" s="5"/>
      <c r="E5" s="5"/>
      <c r="F5" s="5"/>
      <c r="G5" s="20"/>
      <c r="H5" s="20"/>
      <c r="I5" s="20"/>
      <c r="J5" s="20"/>
      <c r="K5" s="20"/>
      <c r="L5" s="43"/>
      <c r="M5" s="431"/>
    </row>
    <row r="6" spans="1:13" s="1" customFormat="1" x14ac:dyDescent="0.2">
      <c r="A6" s="5" t="s">
        <v>15</v>
      </c>
      <c r="C6" s="5"/>
      <c r="D6" s="5"/>
      <c r="E6" s="5"/>
      <c r="F6" s="5"/>
      <c r="G6" s="20"/>
      <c r="H6" s="20"/>
      <c r="I6" s="20"/>
      <c r="J6" s="20"/>
      <c r="K6" s="20"/>
      <c r="L6" s="43"/>
      <c r="M6" s="431"/>
    </row>
    <row r="7" spans="1:13" s="1" customFormat="1" x14ac:dyDescent="0.2">
      <c r="A7" s="7" t="s">
        <v>258</v>
      </c>
      <c r="C7" s="7" t="s">
        <v>63</v>
      </c>
      <c r="D7" s="7" t="s">
        <v>47</v>
      </c>
      <c r="E7" s="7" t="s">
        <v>26</v>
      </c>
      <c r="F7" s="146"/>
      <c r="G7" s="20"/>
      <c r="H7" s="20"/>
      <c r="I7" s="20"/>
      <c r="J7" s="20"/>
      <c r="K7" s="20"/>
      <c r="L7" s="43"/>
      <c r="M7" s="431"/>
    </row>
    <row r="8" spans="1:13" s="1" customFormat="1" x14ac:dyDescent="0.2">
      <c r="C8" s="5" t="s">
        <v>55</v>
      </c>
      <c r="D8" s="5" t="s">
        <v>56</v>
      </c>
      <c r="E8" s="5" t="s">
        <v>57</v>
      </c>
      <c r="F8" s="5"/>
      <c r="G8" s="20"/>
      <c r="H8" s="20"/>
      <c r="I8" s="20"/>
      <c r="J8" s="20"/>
      <c r="K8" s="20"/>
      <c r="L8" s="43"/>
      <c r="M8" s="431"/>
    </row>
    <row r="9" spans="1:13" x14ac:dyDescent="0.2">
      <c r="B9" s="1" t="s">
        <v>259</v>
      </c>
      <c r="C9" s="68"/>
      <c r="D9" s="68"/>
      <c r="E9" s="68"/>
      <c r="F9" s="68"/>
    </row>
    <row r="10" spans="1:13" x14ac:dyDescent="0.2">
      <c r="A10" s="5">
        <v>1</v>
      </c>
      <c r="B10" s="147" t="s">
        <v>262</v>
      </c>
      <c r="C10" s="369">
        <v>-1970405.0999999994</v>
      </c>
      <c r="D10" s="148">
        <v>0</v>
      </c>
      <c r="E10" s="11">
        <f>+D10-C10</f>
        <v>1970405.0999999994</v>
      </c>
      <c r="F10" s="149"/>
    </row>
    <row r="11" spans="1:13" x14ac:dyDescent="0.2">
      <c r="A11" s="5">
        <f>+A10+1</f>
        <v>2</v>
      </c>
      <c r="B11" s="147" t="s">
        <v>403</v>
      </c>
      <c r="C11" s="304">
        <v>-282008.58</v>
      </c>
      <c r="D11" s="150">
        <v>0</v>
      </c>
      <c r="E11" s="304">
        <f>+D11-C11</f>
        <v>282008.58</v>
      </c>
      <c r="F11" s="151"/>
    </row>
    <row r="12" spans="1:13" x14ac:dyDescent="0.2">
      <c r="A12" s="5"/>
      <c r="B12" s="1" t="s">
        <v>126</v>
      </c>
      <c r="C12" s="11"/>
      <c r="D12" s="11"/>
      <c r="E12" s="11"/>
      <c r="F12" s="152"/>
    </row>
    <row r="13" spans="1:13" x14ac:dyDescent="0.2">
      <c r="A13" s="5">
        <f>+A11+1</f>
        <v>3</v>
      </c>
      <c r="B13" s="153" t="s">
        <v>260</v>
      </c>
      <c r="C13" s="150">
        <f>SUM(C10:C11)</f>
        <v>-2252413.6799999992</v>
      </c>
      <c r="D13" s="150">
        <f>SUM(D10:D11)</f>
        <v>0</v>
      </c>
      <c r="E13" s="150">
        <f>SUM(E10:E11)</f>
        <v>2252413.6799999992</v>
      </c>
      <c r="F13" s="154"/>
    </row>
    <row r="14" spans="1:13" x14ac:dyDescent="0.2">
      <c r="A14" s="5"/>
      <c r="B14" s="153"/>
      <c r="C14" s="155"/>
      <c r="D14" s="155"/>
      <c r="E14" s="155"/>
      <c r="F14" s="154"/>
      <c r="G14" s="438"/>
      <c r="H14" s="439"/>
      <c r="I14" s="439"/>
      <c r="J14" s="439"/>
      <c r="L14" s="299"/>
    </row>
    <row r="15" spans="1:13" x14ac:dyDescent="0.2">
      <c r="A15" s="1" t="s">
        <v>261</v>
      </c>
      <c r="B15" s="156"/>
      <c r="C15" s="148"/>
      <c r="D15" s="148"/>
      <c r="E15" s="148"/>
      <c r="F15" s="157"/>
      <c r="H15" s="299"/>
      <c r="I15" s="299"/>
      <c r="J15" s="299"/>
      <c r="L15" s="299"/>
    </row>
    <row r="16" spans="1:13" x14ac:dyDescent="0.2">
      <c r="A16" s="5"/>
      <c r="C16" s="148"/>
      <c r="D16" s="148"/>
      <c r="E16" s="148"/>
      <c r="F16" s="157"/>
      <c r="K16" s="300"/>
    </row>
    <row r="17" spans="1:12" x14ac:dyDescent="0.25">
      <c r="A17" s="5">
        <f>+A13+1</f>
        <v>4</v>
      </c>
      <c r="B17" s="1" t="s">
        <v>563</v>
      </c>
      <c r="C17" s="362">
        <v>51073.17</v>
      </c>
      <c r="D17" s="148">
        <v>93124.313333333354</v>
      </c>
      <c r="E17" s="148">
        <f>+D17-C17</f>
        <v>42051.143333333355</v>
      </c>
      <c r="F17" s="157"/>
      <c r="H17" s="159"/>
      <c r="I17" s="159"/>
      <c r="J17" s="159"/>
      <c r="K17" s="301"/>
      <c r="L17" s="159"/>
    </row>
    <row r="18" spans="1:12" x14ac:dyDescent="0.25">
      <c r="A18" s="5">
        <f>A17+1</f>
        <v>5</v>
      </c>
      <c r="B18" s="1" t="s">
        <v>564</v>
      </c>
      <c r="C18" s="362">
        <v>3660</v>
      </c>
      <c r="D18" s="148">
        <v>5130</v>
      </c>
      <c r="E18" s="148">
        <f t="shared" ref="E18:E30" si="0">+D18-C18</f>
        <v>1470</v>
      </c>
      <c r="F18" s="157"/>
      <c r="H18" s="159"/>
      <c r="I18" s="159"/>
      <c r="J18" s="159"/>
      <c r="K18" s="301"/>
      <c r="L18" s="159"/>
    </row>
    <row r="19" spans="1:12" x14ac:dyDescent="0.25">
      <c r="A19" s="5">
        <f t="shared" ref="A19:A33" si="1">A18+1</f>
        <v>6</v>
      </c>
      <c r="B19" s="1" t="s">
        <v>565</v>
      </c>
      <c r="C19" s="362">
        <v>13640</v>
      </c>
      <c r="D19" s="148">
        <v>29010</v>
      </c>
      <c r="E19" s="148">
        <f t="shared" si="0"/>
        <v>15370</v>
      </c>
      <c r="F19" s="157"/>
      <c r="H19" s="159"/>
      <c r="I19" s="159"/>
      <c r="J19" s="159"/>
      <c r="K19" s="301"/>
      <c r="L19" s="159"/>
    </row>
    <row r="20" spans="1:12" x14ac:dyDescent="0.25">
      <c r="A20" s="5">
        <f t="shared" si="1"/>
        <v>7</v>
      </c>
      <c r="B20" s="1" t="s">
        <v>566</v>
      </c>
      <c r="C20" s="362">
        <v>2356.64</v>
      </c>
      <c r="D20" s="148">
        <v>1218.1466666666668</v>
      </c>
      <c r="E20" s="148">
        <f t="shared" si="0"/>
        <v>-1138.4933333333331</v>
      </c>
      <c r="F20" s="157"/>
      <c r="H20" s="159"/>
      <c r="I20" s="159"/>
      <c r="J20" s="159"/>
      <c r="K20" s="301"/>
      <c r="L20" s="159"/>
    </row>
    <row r="21" spans="1:12" x14ac:dyDescent="0.25">
      <c r="A21" s="5">
        <f t="shared" si="1"/>
        <v>8</v>
      </c>
      <c r="B21" s="1" t="s">
        <v>567</v>
      </c>
      <c r="C21" s="362">
        <v>18475</v>
      </c>
      <c r="D21" s="148">
        <v>37016.666666666664</v>
      </c>
      <c r="E21" s="148">
        <f t="shared" si="0"/>
        <v>18541.666666666664</v>
      </c>
      <c r="F21" s="157"/>
      <c r="H21" s="159"/>
      <c r="I21" s="159"/>
      <c r="J21" s="159"/>
      <c r="K21" s="301"/>
      <c r="L21" s="159"/>
    </row>
    <row r="22" spans="1:12" x14ac:dyDescent="0.25">
      <c r="A22" s="5">
        <f t="shared" si="1"/>
        <v>9</v>
      </c>
      <c r="B22" s="1" t="s">
        <v>568</v>
      </c>
      <c r="C22" s="362">
        <v>6750</v>
      </c>
      <c r="D22" s="148">
        <v>13695</v>
      </c>
      <c r="E22" s="148">
        <f t="shared" si="0"/>
        <v>6945</v>
      </c>
      <c r="F22" s="157"/>
      <c r="H22" s="159"/>
      <c r="I22" s="159"/>
      <c r="J22" s="159"/>
      <c r="K22" s="301"/>
      <c r="L22" s="159"/>
    </row>
    <row r="23" spans="1:12" x14ac:dyDescent="0.25">
      <c r="A23" s="5">
        <f t="shared" si="1"/>
        <v>10</v>
      </c>
      <c r="B23" s="1" t="s">
        <v>569</v>
      </c>
      <c r="C23" s="362">
        <v>1350</v>
      </c>
      <c r="D23" s="148">
        <v>1516.6666666666667</v>
      </c>
      <c r="E23" s="148">
        <f t="shared" si="0"/>
        <v>166.66666666666674</v>
      </c>
      <c r="F23" s="157"/>
      <c r="H23" s="159"/>
      <c r="I23" s="159"/>
      <c r="J23" s="159"/>
      <c r="K23" s="301"/>
      <c r="L23" s="159"/>
    </row>
    <row r="24" spans="1:12" x14ac:dyDescent="0.25">
      <c r="A24" s="5">
        <f t="shared" si="1"/>
        <v>11</v>
      </c>
      <c r="B24" s="1" t="s">
        <v>570</v>
      </c>
      <c r="C24" s="362">
        <v>585</v>
      </c>
      <c r="D24" s="148">
        <v>708.33333333333337</v>
      </c>
      <c r="E24" s="148">
        <f t="shared" si="0"/>
        <v>123.33333333333337</v>
      </c>
      <c r="F24" s="157"/>
      <c r="H24" s="159"/>
      <c r="I24" s="159"/>
      <c r="J24" s="159"/>
      <c r="K24" s="301"/>
      <c r="L24" s="159"/>
    </row>
    <row r="25" spans="1:12" x14ac:dyDescent="0.25">
      <c r="A25" s="5">
        <f t="shared" si="1"/>
        <v>12</v>
      </c>
      <c r="B25" s="1" t="s">
        <v>571</v>
      </c>
      <c r="C25" s="362">
        <v>700</v>
      </c>
      <c r="D25" s="148">
        <v>1433.3333333333333</v>
      </c>
      <c r="E25" s="148">
        <f t="shared" si="0"/>
        <v>733.33333333333326</v>
      </c>
      <c r="F25" s="157"/>
      <c r="H25" s="159"/>
      <c r="I25" s="159"/>
      <c r="J25" s="159"/>
      <c r="K25" s="301"/>
      <c r="L25" s="159"/>
    </row>
    <row r="26" spans="1:12" x14ac:dyDescent="0.25">
      <c r="A26" s="5">
        <f t="shared" si="1"/>
        <v>13</v>
      </c>
      <c r="B26" s="1" t="s">
        <v>572</v>
      </c>
      <c r="C26" s="362">
        <v>12104.04</v>
      </c>
      <c r="D26" s="148">
        <v>14128.080000000002</v>
      </c>
      <c r="E26" s="148">
        <f t="shared" si="0"/>
        <v>2024.0400000000009</v>
      </c>
      <c r="F26" s="157"/>
      <c r="H26" s="159"/>
      <c r="I26" s="159"/>
      <c r="J26" s="159"/>
      <c r="K26" s="301"/>
      <c r="L26" s="159"/>
    </row>
    <row r="27" spans="1:12" x14ac:dyDescent="0.25">
      <c r="A27" s="5">
        <f t="shared" si="1"/>
        <v>14</v>
      </c>
      <c r="B27" s="1" t="s">
        <v>573</v>
      </c>
      <c r="C27" s="362">
        <v>18060.370000000003</v>
      </c>
      <c r="D27" s="148">
        <v>18614.013333333332</v>
      </c>
      <c r="E27" s="148">
        <f t="shared" si="0"/>
        <v>553.64333333332979</v>
      </c>
      <c r="F27" s="157"/>
      <c r="H27" s="159"/>
      <c r="I27" s="159"/>
      <c r="J27" s="159"/>
      <c r="K27" s="301"/>
      <c r="L27" s="159"/>
    </row>
    <row r="28" spans="1:12" x14ac:dyDescent="0.25">
      <c r="A28" s="5">
        <f t="shared" si="1"/>
        <v>15</v>
      </c>
      <c r="B28" s="1" t="s">
        <v>574</v>
      </c>
      <c r="C28" s="362">
        <v>1000</v>
      </c>
      <c r="D28" s="148">
        <v>2007.91</v>
      </c>
      <c r="E28" s="148">
        <f t="shared" si="0"/>
        <v>1007.9100000000001</v>
      </c>
      <c r="F28" s="157"/>
      <c r="H28" s="159"/>
      <c r="I28" s="159"/>
      <c r="J28" s="159"/>
      <c r="K28" s="301"/>
      <c r="L28" s="159"/>
    </row>
    <row r="29" spans="1:12" x14ac:dyDescent="0.25">
      <c r="A29" s="5">
        <f t="shared" si="1"/>
        <v>16</v>
      </c>
      <c r="B29" s="1" t="s">
        <v>465</v>
      </c>
      <c r="C29" s="362">
        <v>318.60000000000008</v>
      </c>
      <c r="D29" s="148">
        <v>318.60000000000008</v>
      </c>
      <c r="E29" s="148">
        <f t="shared" si="0"/>
        <v>0</v>
      </c>
      <c r="F29" s="157"/>
      <c r="H29" s="159"/>
      <c r="I29" s="159"/>
      <c r="J29" s="159"/>
      <c r="K29" s="301"/>
      <c r="L29" s="159"/>
    </row>
    <row r="30" spans="1:12" x14ac:dyDescent="0.25">
      <c r="A30" s="5">
        <f t="shared" si="1"/>
        <v>17</v>
      </c>
      <c r="B30" s="1" t="s">
        <v>575</v>
      </c>
      <c r="C30" s="362">
        <v>15436</v>
      </c>
      <c r="D30" s="148">
        <v>6739</v>
      </c>
      <c r="E30" s="148">
        <f t="shared" si="0"/>
        <v>-8697</v>
      </c>
      <c r="F30" s="157"/>
      <c r="H30" s="159"/>
      <c r="I30" s="159"/>
      <c r="J30" s="159"/>
      <c r="K30" s="301"/>
      <c r="L30" s="159"/>
    </row>
    <row r="31" spans="1:12" x14ac:dyDescent="0.25">
      <c r="A31" s="5">
        <f t="shared" si="1"/>
        <v>18</v>
      </c>
      <c r="B31" s="1" t="s">
        <v>576</v>
      </c>
      <c r="C31" s="365">
        <v>0</v>
      </c>
      <c r="D31" s="366">
        <v>150</v>
      </c>
      <c r="E31" s="366">
        <f>+D31-C31</f>
        <v>150</v>
      </c>
      <c r="F31" s="157"/>
      <c r="H31" s="159"/>
      <c r="I31" s="159"/>
      <c r="J31" s="159"/>
      <c r="K31" s="440"/>
      <c r="L31" s="159"/>
    </row>
    <row r="32" spans="1:12" x14ac:dyDescent="0.25">
      <c r="A32" s="5">
        <f t="shared" si="1"/>
        <v>19</v>
      </c>
      <c r="B32" s="1" t="s">
        <v>577</v>
      </c>
      <c r="C32" s="365">
        <v>0</v>
      </c>
      <c r="D32" s="366">
        <v>0</v>
      </c>
      <c r="E32" s="366">
        <f>+D32-C32</f>
        <v>0</v>
      </c>
      <c r="F32" s="157"/>
      <c r="H32" s="159"/>
      <c r="I32" s="159"/>
      <c r="J32" s="159"/>
      <c r="K32" s="440"/>
      <c r="L32" s="159"/>
    </row>
    <row r="33" spans="1:13" x14ac:dyDescent="0.25">
      <c r="A33" s="5">
        <f t="shared" si="1"/>
        <v>20</v>
      </c>
      <c r="B33" s="1" t="s">
        <v>578</v>
      </c>
      <c r="C33" s="365">
        <v>0</v>
      </c>
      <c r="D33" s="366">
        <v>172</v>
      </c>
      <c r="E33" s="366">
        <f>+D33-C33</f>
        <v>172</v>
      </c>
      <c r="F33" s="157"/>
      <c r="H33" s="159"/>
      <c r="I33" s="159"/>
      <c r="J33" s="159"/>
      <c r="K33" s="440"/>
      <c r="L33" s="159"/>
    </row>
    <row r="34" spans="1:13" x14ac:dyDescent="0.25">
      <c r="A34" s="5">
        <f>A33+1</f>
        <v>21</v>
      </c>
      <c r="B34" s="1" t="s">
        <v>579</v>
      </c>
      <c r="C34" s="365">
        <v>0</v>
      </c>
      <c r="D34" s="367">
        <v>0</v>
      </c>
      <c r="E34" s="367">
        <f>+D34-C34</f>
        <v>0</v>
      </c>
      <c r="F34" s="154"/>
      <c r="H34" s="159"/>
      <c r="I34" s="159"/>
      <c r="J34" s="159"/>
      <c r="K34" s="440"/>
      <c r="L34" s="159"/>
      <c r="M34" s="441"/>
    </row>
    <row r="35" spans="1:13" x14ac:dyDescent="0.2">
      <c r="A35" s="5">
        <f>A34+1</f>
        <v>22</v>
      </c>
      <c r="B35" s="153" t="s">
        <v>260</v>
      </c>
      <c r="C35" s="363">
        <f>SUM(C17:C34)</f>
        <v>145508.82</v>
      </c>
      <c r="D35" s="363">
        <f>SUM(D17:D34)</f>
        <v>224982.06333333338</v>
      </c>
      <c r="E35" s="363">
        <f>SUM(E17:E34)</f>
        <v>79473.243333333332</v>
      </c>
      <c r="H35" s="159"/>
      <c r="I35" s="159"/>
      <c r="J35" s="159"/>
      <c r="K35" s="159"/>
      <c r="L35" s="159"/>
    </row>
    <row r="36" spans="1:13" x14ac:dyDescent="0.2">
      <c r="A36" s="5">
        <f>A35+1</f>
        <v>23</v>
      </c>
      <c r="B36" s="1" t="s">
        <v>438</v>
      </c>
      <c r="C36" s="364">
        <v>10876.316016000004</v>
      </c>
      <c r="D36" s="148">
        <v>42446.265024000015</v>
      </c>
      <c r="E36" s="148">
        <f>+D36-C36</f>
        <v>31569.949008000011</v>
      </c>
      <c r="F36" s="154"/>
      <c r="H36" s="159"/>
      <c r="I36" s="159"/>
      <c r="J36" s="159"/>
      <c r="K36" s="159"/>
      <c r="L36" s="159"/>
    </row>
    <row r="37" spans="1:13" ht="15.75" thickBot="1" x14ac:dyDescent="0.25">
      <c r="A37" s="5">
        <f>A36+1</f>
        <v>24</v>
      </c>
      <c r="B37" s="153" t="s">
        <v>62</v>
      </c>
      <c r="C37" s="160">
        <f>C35+C13+C36</f>
        <v>-2096028.5439839994</v>
      </c>
      <c r="D37" s="160">
        <f>D35+D13+D36</f>
        <v>267428.32835733338</v>
      </c>
      <c r="E37" s="160">
        <f>E35+E13+E36</f>
        <v>2363456.8723413325</v>
      </c>
      <c r="F37" s="157"/>
      <c r="H37" s="368"/>
      <c r="I37" s="368"/>
      <c r="J37" s="368"/>
      <c r="K37" s="368"/>
      <c r="L37" s="368"/>
    </row>
    <row r="38" spans="1:13" ht="15.75" thickTop="1" x14ac:dyDescent="0.25">
      <c r="A38" s="5"/>
      <c r="C38" s="361"/>
      <c r="D38" s="155"/>
      <c r="E38" s="155"/>
      <c r="F38" s="161"/>
      <c r="H38" s="159"/>
      <c r="I38" s="159"/>
      <c r="J38" s="159"/>
      <c r="K38" s="159"/>
      <c r="L38" s="159"/>
    </row>
    <row r="39" spans="1:13" x14ac:dyDescent="0.2">
      <c r="C39" s="27"/>
      <c r="D39" s="27"/>
      <c r="E39" s="27"/>
      <c r="F39" s="27"/>
      <c r="H39" s="298"/>
      <c r="I39" s="298"/>
      <c r="J39" s="298"/>
      <c r="K39" s="298"/>
      <c r="L39" s="298"/>
      <c r="M39" s="441"/>
    </row>
    <row r="40" spans="1:13" x14ac:dyDescent="0.2">
      <c r="C40" s="27"/>
      <c r="D40" s="27"/>
      <c r="E40" s="27"/>
      <c r="F40" s="27"/>
      <c r="H40" s="298"/>
      <c r="I40" s="298"/>
      <c r="J40" s="298"/>
      <c r="K40" s="298"/>
      <c r="L40" s="298"/>
    </row>
    <row r="41" spans="1:13" x14ac:dyDescent="0.2">
      <c r="H41" s="298"/>
      <c r="I41" s="298"/>
      <c r="J41" s="298"/>
      <c r="K41" s="298"/>
      <c r="L41" s="298"/>
    </row>
    <row r="42" spans="1:13" x14ac:dyDescent="0.2">
      <c r="C42" s="162"/>
      <c r="H42" s="298"/>
      <c r="I42" s="298"/>
      <c r="J42" s="298"/>
      <c r="K42" s="298"/>
      <c r="L42" s="298"/>
    </row>
    <row r="43" spans="1:13" x14ac:dyDescent="0.2">
      <c r="H43" s="298"/>
      <c r="I43" s="298"/>
      <c r="J43" s="298"/>
      <c r="K43" s="298"/>
      <c r="L43" s="298"/>
    </row>
    <row r="44" spans="1:13" x14ac:dyDescent="0.2">
      <c r="H44" s="298"/>
      <c r="I44" s="298"/>
      <c r="J44" s="298"/>
      <c r="K44" s="298"/>
      <c r="L44" s="298"/>
      <c r="M44" s="441"/>
    </row>
    <row r="45" spans="1:13" x14ac:dyDescent="0.2">
      <c r="C45" s="27"/>
      <c r="D45" s="27"/>
      <c r="E45" s="27"/>
      <c r="F45" s="27"/>
      <c r="H45" s="159"/>
      <c r="I45" s="159"/>
      <c r="J45" s="159"/>
      <c r="K45" s="159"/>
      <c r="L45" s="159"/>
    </row>
    <row r="46" spans="1:13" x14ac:dyDescent="0.2">
      <c r="C46" s="27"/>
      <c r="D46" s="27"/>
      <c r="E46" s="27"/>
      <c r="F46" s="27"/>
      <c r="H46" s="159"/>
      <c r="I46" s="159"/>
      <c r="J46" s="159"/>
      <c r="K46" s="159"/>
      <c r="L46" s="159"/>
    </row>
    <row r="47" spans="1:13" x14ac:dyDescent="0.2">
      <c r="C47" s="27"/>
      <c r="D47" s="27"/>
      <c r="E47" s="27"/>
      <c r="F47" s="27"/>
      <c r="H47" s="442"/>
      <c r="I47" s="442"/>
      <c r="J47" s="442"/>
      <c r="K47" s="442"/>
      <c r="L47" s="442"/>
    </row>
    <row r="48" spans="1:13" x14ac:dyDescent="0.2">
      <c r="C48" s="27"/>
      <c r="D48" s="27"/>
      <c r="E48" s="27"/>
      <c r="F48" s="27"/>
      <c r="H48" s="443"/>
      <c r="I48" s="443"/>
      <c r="J48" s="443"/>
      <c r="K48" s="443"/>
      <c r="L48" s="443"/>
    </row>
    <row r="49" spans="3:6" x14ac:dyDescent="0.2">
      <c r="C49" s="27"/>
      <c r="D49" s="27"/>
      <c r="E49" s="27"/>
      <c r="F49" s="27"/>
    </row>
    <row r="50" spans="3:6" x14ac:dyDescent="0.2">
      <c r="C50" s="27"/>
      <c r="D50" s="27"/>
      <c r="E50" s="27"/>
      <c r="F50" s="27"/>
    </row>
    <row r="51" spans="3:6" x14ac:dyDescent="0.2">
      <c r="C51" s="27"/>
      <c r="D51" s="27"/>
      <c r="E51" s="27"/>
      <c r="F51" s="27"/>
    </row>
    <row r="52" spans="3:6" x14ac:dyDescent="0.2">
      <c r="C52" s="27"/>
      <c r="D52" s="27"/>
      <c r="E52" s="27"/>
      <c r="F52" s="27"/>
    </row>
    <row r="53" spans="3:6" x14ac:dyDescent="0.2">
      <c r="C53" s="27"/>
      <c r="D53" s="27"/>
      <c r="E53" s="27"/>
      <c r="F53" s="27"/>
    </row>
    <row r="54" spans="3:6" x14ac:dyDescent="0.2">
      <c r="C54" s="27"/>
      <c r="D54" s="27"/>
      <c r="E54" s="27"/>
      <c r="F54" s="27"/>
    </row>
    <row r="55" spans="3:6" x14ac:dyDescent="0.2">
      <c r="C55" s="27"/>
      <c r="D55" s="27"/>
      <c r="E55" s="27"/>
      <c r="F55" s="27"/>
    </row>
    <row r="56" spans="3:6" x14ac:dyDescent="0.2">
      <c r="C56" s="27"/>
      <c r="D56" s="27"/>
      <c r="E56" s="27"/>
      <c r="F56" s="27"/>
    </row>
    <row r="57" spans="3:6" x14ac:dyDescent="0.2">
      <c r="C57" s="27"/>
      <c r="D57" s="27"/>
      <c r="E57" s="27"/>
      <c r="F57" s="27"/>
    </row>
    <row r="58" spans="3:6" x14ac:dyDescent="0.2">
      <c r="C58" s="27"/>
      <c r="D58" s="27"/>
      <c r="E58" s="27"/>
      <c r="F58" s="27"/>
    </row>
    <row r="59" spans="3:6" x14ac:dyDescent="0.2">
      <c r="C59" s="27"/>
      <c r="D59" s="27"/>
      <c r="E59" s="27"/>
      <c r="F59" s="27"/>
    </row>
    <row r="60" spans="3:6" x14ac:dyDescent="0.2">
      <c r="C60" s="27"/>
      <c r="D60" s="27"/>
      <c r="E60" s="27"/>
      <c r="F60" s="27"/>
    </row>
    <row r="61" spans="3:6" x14ac:dyDescent="0.2">
      <c r="C61" s="27"/>
      <c r="D61" s="27"/>
      <c r="E61" s="27"/>
      <c r="F61" s="27"/>
    </row>
    <row r="62" spans="3:6" x14ac:dyDescent="0.2">
      <c r="C62" s="27"/>
      <c r="D62" s="27"/>
      <c r="E62" s="27"/>
      <c r="F62" s="27"/>
    </row>
    <row r="63" spans="3:6" x14ac:dyDescent="0.2">
      <c r="C63" s="27"/>
      <c r="D63" s="27"/>
      <c r="E63" s="27"/>
      <c r="F63" s="27"/>
    </row>
    <row r="64" spans="3:6" x14ac:dyDescent="0.2">
      <c r="C64" s="27"/>
      <c r="D64" s="27"/>
      <c r="E64" s="27"/>
      <c r="F64" s="27"/>
    </row>
    <row r="65" spans="3:6" x14ac:dyDescent="0.2">
      <c r="C65" s="27"/>
      <c r="D65" s="27"/>
      <c r="E65" s="27"/>
      <c r="F65" s="27"/>
    </row>
    <row r="66" spans="3:6" x14ac:dyDescent="0.2">
      <c r="C66" s="27"/>
      <c r="D66" s="27"/>
      <c r="E66" s="27"/>
      <c r="F66" s="27"/>
    </row>
    <row r="67" spans="3:6" x14ac:dyDescent="0.2">
      <c r="C67" s="27"/>
      <c r="D67" s="27"/>
      <c r="E67" s="27"/>
      <c r="F67" s="27"/>
    </row>
    <row r="68" spans="3:6" x14ac:dyDescent="0.2">
      <c r="C68" s="27"/>
      <c r="D68" s="27"/>
      <c r="E68" s="27"/>
      <c r="F68" s="27"/>
    </row>
    <row r="69" spans="3:6" x14ac:dyDescent="0.2">
      <c r="C69" s="27"/>
      <c r="D69" s="27"/>
      <c r="E69" s="27"/>
      <c r="F69" s="27"/>
    </row>
    <row r="70" spans="3:6" x14ac:dyDescent="0.2">
      <c r="C70" s="27"/>
      <c r="D70" s="27"/>
      <c r="E70" s="27"/>
      <c r="F70" s="27"/>
    </row>
    <row r="71" spans="3:6" x14ac:dyDescent="0.2">
      <c r="C71" s="27"/>
      <c r="D71" s="27"/>
      <c r="E71" s="27"/>
      <c r="F71" s="27"/>
    </row>
    <row r="72" spans="3:6" x14ac:dyDescent="0.2">
      <c r="C72" s="27"/>
      <c r="D72" s="27"/>
      <c r="E72" s="27"/>
      <c r="F72" s="27"/>
    </row>
    <row r="73" spans="3:6" x14ac:dyDescent="0.2">
      <c r="C73" s="27"/>
      <c r="D73" s="27"/>
      <c r="E73" s="27"/>
      <c r="F73" s="27"/>
    </row>
    <row r="74" spans="3:6" x14ac:dyDescent="0.2">
      <c r="C74" s="27"/>
      <c r="D74" s="27"/>
      <c r="E74" s="27"/>
      <c r="F74" s="27"/>
    </row>
    <row r="75" spans="3:6" x14ac:dyDescent="0.2">
      <c r="C75" s="27"/>
      <c r="D75" s="27"/>
      <c r="E75" s="27"/>
      <c r="F75" s="27"/>
    </row>
    <row r="76" spans="3:6" x14ac:dyDescent="0.2">
      <c r="C76" s="27"/>
      <c r="D76" s="27"/>
      <c r="E76" s="27"/>
      <c r="F76" s="27"/>
    </row>
    <row r="77" spans="3:6" x14ac:dyDescent="0.2">
      <c r="C77" s="27"/>
      <c r="D77" s="27"/>
      <c r="E77" s="27"/>
      <c r="F77" s="27"/>
    </row>
    <row r="78" spans="3:6" x14ac:dyDescent="0.2">
      <c r="C78" s="27"/>
      <c r="D78" s="27"/>
      <c r="E78" s="27"/>
      <c r="F78" s="27"/>
    </row>
    <row r="79" spans="3:6" x14ac:dyDescent="0.2">
      <c r="C79" s="27"/>
      <c r="D79" s="27"/>
      <c r="E79" s="27"/>
      <c r="F79" s="27"/>
    </row>
    <row r="80" spans="3:6" x14ac:dyDescent="0.2">
      <c r="C80" s="27"/>
      <c r="D80" s="27"/>
      <c r="E80" s="27"/>
      <c r="F80" s="27"/>
    </row>
    <row r="81" spans="3:6" x14ac:dyDescent="0.2">
      <c r="C81" s="27"/>
      <c r="D81" s="27"/>
      <c r="E81" s="27"/>
      <c r="F81" s="27"/>
    </row>
    <row r="82" spans="3:6" x14ac:dyDescent="0.2">
      <c r="C82" s="27"/>
      <c r="D82" s="27"/>
      <c r="E82" s="27"/>
      <c r="F82" s="27"/>
    </row>
    <row r="83" spans="3:6" x14ac:dyDescent="0.2">
      <c r="C83" s="27"/>
      <c r="D83" s="27"/>
      <c r="E83" s="27"/>
      <c r="F83" s="27"/>
    </row>
    <row r="84" spans="3:6" x14ac:dyDescent="0.2">
      <c r="C84" s="27"/>
      <c r="D84" s="27"/>
      <c r="E84" s="27"/>
      <c r="F84" s="27"/>
    </row>
    <row r="85" spans="3:6" x14ac:dyDescent="0.2">
      <c r="C85" s="27"/>
      <c r="D85" s="27"/>
      <c r="E85" s="27"/>
      <c r="F85" s="27"/>
    </row>
    <row r="86" spans="3:6" x14ac:dyDescent="0.2">
      <c r="C86" s="27"/>
      <c r="D86" s="27"/>
      <c r="E86" s="27"/>
      <c r="F86" s="27"/>
    </row>
    <row r="87" spans="3:6" x14ac:dyDescent="0.2">
      <c r="C87" s="27"/>
      <c r="D87" s="27"/>
      <c r="E87" s="27"/>
      <c r="F87" s="27"/>
    </row>
    <row r="88" spans="3:6" x14ac:dyDescent="0.2">
      <c r="C88" s="27"/>
      <c r="D88" s="27"/>
      <c r="E88" s="27"/>
      <c r="F88" s="27"/>
    </row>
    <row r="89" spans="3:6" x14ac:dyDescent="0.2">
      <c r="C89" s="27"/>
      <c r="D89" s="27"/>
      <c r="E89" s="27"/>
      <c r="F89" s="27"/>
    </row>
    <row r="90" spans="3:6" x14ac:dyDescent="0.2">
      <c r="C90" s="27"/>
      <c r="D90" s="27"/>
      <c r="E90" s="27"/>
      <c r="F90" s="27"/>
    </row>
    <row r="91" spans="3:6" x14ac:dyDescent="0.2">
      <c r="C91" s="27"/>
      <c r="D91" s="27"/>
      <c r="E91" s="27"/>
      <c r="F91" s="27"/>
    </row>
    <row r="92" spans="3:6" x14ac:dyDescent="0.2">
      <c r="C92" s="27"/>
      <c r="D92" s="27"/>
      <c r="E92" s="27"/>
      <c r="F92" s="27"/>
    </row>
    <row r="93" spans="3:6" x14ac:dyDescent="0.2">
      <c r="C93" s="27"/>
      <c r="D93" s="27"/>
      <c r="E93" s="27"/>
      <c r="F93" s="27"/>
    </row>
    <row r="94" spans="3:6" x14ac:dyDescent="0.2">
      <c r="C94" s="27"/>
      <c r="D94" s="27"/>
      <c r="E94" s="27"/>
      <c r="F94" s="27"/>
    </row>
    <row r="95" spans="3:6" x14ac:dyDescent="0.2">
      <c r="C95" s="27"/>
      <c r="D95" s="27"/>
      <c r="E95" s="27"/>
      <c r="F95" s="27"/>
    </row>
    <row r="96" spans="3:6" x14ac:dyDescent="0.2">
      <c r="C96" s="27"/>
      <c r="D96" s="27"/>
      <c r="E96" s="27"/>
      <c r="F96" s="27"/>
    </row>
    <row r="97" spans="3:6" x14ac:dyDescent="0.2">
      <c r="C97" s="27"/>
      <c r="D97" s="27"/>
      <c r="E97" s="27"/>
      <c r="F97" s="27"/>
    </row>
    <row r="98" spans="3:6" x14ac:dyDescent="0.2">
      <c r="C98" s="27"/>
      <c r="D98" s="27"/>
      <c r="E98" s="27"/>
      <c r="F98" s="27"/>
    </row>
    <row r="99" spans="3:6" x14ac:dyDescent="0.2">
      <c r="C99" s="27"/>
      <c r="D99" s="27"/>
      <c r="E99" s="27"/>
      <c r="F99" s="27"/>
    </row>
    <row r="100" spans="3:6" x14ac:dyDescent="0.2">
      <c r="C100" s="27"/>
      <c r="D100" s="27"/>
      <c r="E100" s="27"/>
      <c r="F100" s="27"/>
    </row>
    <row r="101" spans="3:6" x14ac:dyDescent="0.2">
      <c r="C101" s="27"/>
      <c r="D101" s="27"/>
      <c r="E101" s="27"/>
      <c r="F101" s="27"/>
    </row>
    <row r="102" spans="3:6" x14ac:dyDescent="0.2">
      <c r="C102" s="27"/>
      <c r="D102" s="27"/>
      <c r="E102" s="27"/>
      <c r="F102" s="27"/>
    </row>
    <row r="103" spans="3:6" x14ac:dyDescent="0.2">
      <c r="C103" s="27"/>
      <c r="D103" s="27"/>
      <c r="E103" s="27"/>
      <c r="F103" s="27"/>
    </row>
    <row r="104" spans="3:6" x14ac:dyDescent="0.2">
      <c r="C104" s="27"/>
      <c r="D104" s="27"/>
      <c r="E104" s="27"/>
      <c r="F104" s="27"/>
    </row>
    <row r="105" spans="3:6" x14ac:dyDescent="0.2">
      <c r="C105" s="27"/>
      <c r="D105" s="27"/>
      <c r="E105" s="27"/>
      <c r="F105" s="27"/>
    </row>
    <row r="106" spans="3:6" x14ac:dyDescent="0.2">
      <c r="C106" s="27"/>
      <c r="D106" s="27"/>
      <c r="E106" s="27"/>
      <c r="F106" s="27"/>
    </row>
    <row r="107" spans="3:6" x14ac:dyDescent="0.2">
      <c r="C107" s="27"/>
      <c r="D107" s="27"/>
      <c r="E107" s="27"/>
      <c r="F107" s="27"/>
    </row>
    <row r="108" spans="3:6" x14ac:dyDescent="0.2">
      <c r="C108" s="27"/>
      <c r="D108" s="27"/>
      <c r="E108" s="27"/>
      <c r="F108" s="27"/>
    </row>
    <row r="109" spans="3:6" x14ac:dyDescent="0.2">
      <c r="C109" s="27"/>
      <c r="D109" s="27"/>
      <c r="E109" s="27"/>
      <c r="F109" s="27"/>
    </row>
    <row r="110" spans="3:6" x14ac:dyDescent="0.2">
      <c r="C110" s="27"/>
      <c r="D110" s="27"/>
      <c r="E110" s="27"/>
      <c r="F110" s="27"/>
    </row>
    <row r="111" spans="3:6" x14ac:dyDescent="0.2">
      <c r="C111" s="27"/>
      <c r="D111" s="27"/>
      <c r="E111" s="27"/>
      <c r="F111" s="27"/>
    </row>
    <row r="112" spans="3:6" x14ac:dyDescent="0.2">
      <c r="C112" s="27"/>
      <c r="D112" s="27"/>
      <c r="E112" s="27"/>
      <c r="F112" s="27"/>
    </row>
    <row r="113" spans="3:6" x14ac:dyDescent="0.2">
      <c r="C113" s="27"/>
      <c r="D113" s="27"/>
      <c r="E113" s="27"/>
      <c r="F113" s="27"/>
    </row>
    <row r="114" spans="3:6" x14ac:dyDescent="0.2">
      <c r="C114" s="27"/>
      <c r="D114" s="27"/>
      <c r="E114" s="27"/>
      <c r="F114" s="27"/>
    </row>
    <row r="115" spans="3:6" x14ac:dyDescent="0.2">
      <c r="C115" s="27"/>
      <c r="D115" s="27"/>
      <c r="E115" s="27"/>
      <c r="F115" s="27"/>
    </row>
    <row r="116" spans="3:6" x14ac:dyDescent="0.2">
      <c r="C116" s="27"/>
      <c r="D116" s="27"/>
      <c r="E116" s="27"/>
      <c r="F116" s="27"/>
    </row>
    <row r="117" spans="3:6" x14ac:dyDescent="0.2">
      <c r="C117" s="27"/>
      <c r="D117" s="27"/>
      <c r="E117" s="27"/>
      <c r="F117" s="27"/>
    </row>
    <row r="118" spans="3:6" x14ac:dyDescent="0.2">
      <c r="C118" s="27"/>
      <c r="D118" s="27"/>
      <c r="E118" s="27"/>
      <c r="F118" s="27"/>
    </row>
    <row r="119" spans="3:6" x14ac:dyDescent="0.2">
      <c r="C119" s="27"/>
      <c r="D119" s="27"/>
      <c r="E119" s="27"/>
      <c r="F119" s="27"/>
    </row>
    <row r="120" spans="3:6" x14ac:dyDescent="0.2">
      <c r="C120" s="27"/>
      <c r="D120" s="27"/>
      <c r="E120" s="27"/>
      <c r="F120" s="27"/>
    </row>
    <row r="121" spans="3:6" x14ac:dyDescent="0.2">
      <c r="C121" s="27"/>
      <c r="D121" s="27"/>
      <c r="E121" s="27"/>
      <c r="F121" s="27"/>
    </row>
    <row r="122" spans="3:6" x14ac:dyDescent="0.2">
      <c r="C122" s="27"/>
      <c r="D122" s="27"/>
      <c r="E122" s="27"/>
      <c r="F122" s="27"/>
    </row>
    <row r="123" spans="3:6" x14ac:dyDescent="0.2">
      <c r="C123" s="27"/>
      <c r="D123" s="27"/>
      <c r="E123" s="27"/>
      <c r="F123" s="27"/>
    </row>
    <row r="124" spans="3:6" x14ac:dyDescent="0.2">
      <c r="C124" s="27"/>
      <c r="D124" s="27"/>
      <c r="E124" s="27"/>
      <c r="F124" s="27"/>
    </row>
    <row r="125" spans="3:6" x14ac:dyDescent="0.2">
      <c r="C125" s="27"/>
      <c r="D125" s="27"/>
      <c r="E125" s="27"/>
      <c r="F125" s="27"/>
    </row>
    <row r="126" spans="3:6" x14ac:dyDescent="0.2">
      <c r="C126" s="27"/>
      <c r="D126" s="27"/>
      <c r="E126" s="27"/>
      <c r="F126" s="27"/>
    </row>
    <row r="127" spans="3:6" x14ac:dyDescent="0.2">
      <c r="C127" s="27"/>
      <c r="D127" s="27"/>
      <c r="E127" s="27"/>
      <c r="F127" s="27"/>
    </row>
    <row r="128" spans="3:6" x14ac:dyDescent="0.2">
      <c r="C128" s="27"/>
      <c r="D128" s="27"/>
      <c r="E128" s="27"/>
      <c r="F128" s="27"/>
    </row>
    <row r="129" spans="3:6" x14ac:dyDescent="0.2">
      <c r="C129" s="27"/>
      <c r="D129" s="27"/>
      <c r="E129" s="27"/>
      <c r="F129" s="27"/>
    </row>
    <row r="130" spans="3:6" x14ac:dyDescent="0.2">
      <c r="C130" s="27"/>
      <c r="D130" s="27"/>
      <c r="E130" s="27"/>
      <c r="F130" s="27"/>
    </row>
    <row r="131" spans="3:6" x14ac:dyDescent="0.2">
      <c r="C131" s="27"/>
      <c r="D131" s="27"/>
      <c r="E131" s="27"/>
      <c r="F131" s="27"/>
    </row>
    <row r="132" spans="3:6" x14ac:dyDescent="0.2">
      <c r="C132" s="27"/>
      <c r="D132" s="27"/>
      <c r="E132" s="27"/>
      <c r="F132" s="27"/>
    </row>
    <row r="133" spans="3:6" x14ac:dyDescent="0.2">
      <c r="C133" s="27"/>
      <c r="D133" s="27"/>
      <c r="E133" s="27"/>
      <c r="F133" s="27"/>
    </row>
    <row r="134" spans="3:6" x14ac:dyDescent="0.2">
      <c r="C134" s="27"/>
      <c r="D134" s="27"/>
      <c r="E134" s="27"/>
      <c r="F134" s="27"/>
    </row>
    <row r="135" spans="3:6" x14ac:dyDescent="0.2">
      <c r="C135" s="27"/>
      <c r="D135" s="27"/>
      <c r="E135" s="27"/>
      <c r="F135" s="27"/>
    </row>
    <row r="136" spans="3:6" x14ac:dyDescent="0.2">
      <c r="C136" s="27"/>
      <c r="D136" s="27"/>
      <c r="E136" s="27"/>
      <c r="F136" s="27"/>
    </row>
    <row r="137" spans="3:6" x14ac:dyDescent="0.2">
      <c r="C137" s="27"/>
      <c r="D137" s="27"/>
      <c r="E137" s="27"/>
      <c r="F137" s="27"/>
    </row>
    <row r="138" spans="3:6" x14ac:dyDescent="0.2">
      <c r="C138" s="27"/>
      <c r="D138" s="27"/>
      <c r="E138" s="27"/>
      <c r="F138" s="27"/>
    </row>
    <row r="139" spans="3:6" x14ac:dyDescent="0.2">
      <c r="C139" s="27"/>
      <c r="D139" s="27"/>
      <c r="E139" s="27"/>
      <c r="F139" s="27"/>
    </row>
    <row r="140" spans="3:6" x14ac:dyDescent="0.2">
      <c r="C140" s="27"/>
      <c r="D140" s="27"/>
      <c r="E140" s="27"/>
      <c r="F140" s="27"/>
    </row>
    <row r="141" spans="3:6" x14ac:dyDescent="0.2">
      <c r="C141" s="27"/>
      <c r="D141" s="27"/>
      <c r="E141" s="27"/>
      <c r="F141" s="27"/>
    </row>
    <row r="142" spans="3:6" x14ac:dyDescent="0.2">
      <c r="C142" s="27"/>
      <c r="D142" s="27"/>
      <c r="E142" s="27"/>
      <c r="F142" s="27"/>
    </row>
    <row r="143" spans="3:6" x14ac:dyDescent="0.2">
      <c r="C143" s="27"/>
      <c r="D143" s="27"/>
      <c r="E143" s="27"/>
      <c r="F143" s="27"/>
    </row>
    <row r="144" spans="3:6" x14ac:dyDescent="0.2">
      <c r="C144" s="27"/>
      <c r="D144" s="27"/>
      <c r="E144" s="27"/>
      <c r="F144" s="27"/>
    </row>
    <row r="145" spans="3:6" x14ac:dyDescent="0.2">
      <c r="C145" s="27"/>
      <c r="D145" s="27"/>
      <c r="E145" s="27"/>
      <c r="F145" s="27"/>
    </row>
    <row r="146" spans="3:6" x14ac:dyDescent="0.2">
      <c r="C146" s="27"/>
      <c r="D146" s="27"/>
      <c r="E146" s="27"/>
      <c r="F146" s="27"/>
    </row>
    <row r="147" spans="3:6" x14ac:dyDescent="0.2">
      <c r="C147" s="27"/>
      <c r="D147" s="27"/>
      <c r="E147" s="27"/>
      <c r="F147" s="27"/>
    </row>
    <row r="148" spans="3:6" x14ac:dyDescent="0.2">
      <c r="C148" s="27"/>
      <c r="D148" s="27"/>
      <c r="E148" s="27"/>
      <c r="F148" s="27"/>
    </row>
    <row r="149" spans="3:6" x14ac:dyDescent="0.2">
      <c r="C149" s="27"/>
      <c r="D149" s="27"/>
      <c r="E149" s="27"/>
      <c r="F149" s="27"/>
    </row>
    <row r="150" spans="3:6" x14ac:dyDescent="0.2">
      <c r="C150" s="27"/>
      <c r="D150" s="27"/>
      <c r="E150" s="27"/>
      <c r="F150" s="27"/>
    </row>
    <row r="151" spans="3:6" x14ac:dyDescent="0.2">
      <c r="C151" s="27"/>
      <c r="D151" s="27"/>
      <c r="E151" s="27"/>
      <c r="F151" s="27"/>
    </row>
    <row r="152" spans="3:6" x14ac:dyDescent="0.2">
      <c r="C152" s="27"/>
      <c r="D152" s="27"/>
      <c r="E152" s="27"/>
      <c r="F152" s="27"/>
    </row>
    <row r="153" spans="3:6" x14ac:dyDescent="0.2">
      <c r="C153" s="27"/>
      <c r="D153" s="27"/>
      <c r="E153" s="27"/>
      <c r="F153" s="27"/>
    </row>
    <row r="154" spans="3:6" x14ac:dyDescent="0.2">
      <c r="C154" s="27"/>
      <c r="D154" s="27"/>
      <c r="E154" s="27"/>
      <c r="F154" s="27"/>
    </row>
    <row r="155" spans="3:6" x14ac:dyDescent="0.2">
      <c r="C155" s="27"/>
      <c r="D155" s="27"/>
      <c r="E155" s="27"/>
      <c r="F155" s="27"/>
    </row>
    <row r="156" spans="3:6" x14ac:dyDescent="0.2">
      <c r="C156" s="27"/>
      <c r="D156" s="27"/>
      <c r="E156" s="27"/>
      <c r="F156" s="27"/>
    </row>
    <row r="157" spans="3:6" x14ac:dyDescent="0.2">
      <c r="C157" s="27"/>
      <c r="D157" s="27"/>
      <c r="E157" s="27"/>
      <c r="F157" s="27"/>
    </row>
    <row r="158" spans="3:6" x14ac:dyDescent="0.2">
      <c r="C158" s="27"/>
      <c r="D158" s="27"/>
      <c r="E158" s="27"/>
      <c r="F158" s="27"/>
    </row>
    <row r="159" spans="3:6" x14ac:dyDescent="0.2">
      <c r="C159" s="27"/>
      <c r="D159" s="27"/>
      <c r="E159" s="27"/>
      <c r="F159" s="27"/>
    </row>
    <row r="160" spans="3:6" x14ac:dyDescent="0.2">
      <c r="C160" s="27"/>
      <c r="D160" s="27"/>
      <c r="E160" s="27"/>
      <c r="F160" s="27"/>
    </row>
    <row r="161" spans="3:6" x14ac:dyDescent="0.2">
      <c r="C161" s="27"/>
      <c r="D161" s="27"/>
      <c r="E161" s="27"/>
      <c r="F161" s="27"/>
    </row>
    <row r="162" spans="3:6" x14ac:dyDescent="0.2">
      <c r="C162" s="27"/>
      <c r="D162" s="27"/>
      <c r="E162" s="27"/>
      <c r="F162" s="27"/>
    </row>
    <row r="163" spans="3:6" x14ac:dyDescent="0.2">
      <c r="C163" s="27"/>
      <c r="D163" s="27"/>
      <c r="E163" s="27"/>
      <c r="F163" s="27"/>
    </row>
    <row r="164" spans="3:6" x14ac:dyDescent="0.2">
      <c r="C164" s="27"/>
      <c r="D164" s="27"/>
      <c r="E164" s="27"/>
      <c r="F164" s="27"/>
    </row>
    <row r="165" spans="3:6" x14ac:dyDescent="0.2">
      <c r="C165" s="27"/>
      <c r="D165" s="27"/>
      <c r="E165" s="27"/>
      <c r="F165" s="27"/>
    </row>
    <row r="166" spans="3:6" x14ac:dyDescent="0.2">
      <c r="C166" s="27"/>
      <c r="D166" s="27"/>
      <c r="E166" s="27"/>
      <c r="F166" s="27"/>
    </row>
    <row r="167" spans="3:6" x14ac:dyDescent="0.2">
      <c r="C167" s="27"/>
      <c r="D167" s="27"/>
      <c r="E167" s="27"/>
      <c r="F167" s="27"/>
    </row>
    <row r="168" spans="3:6" x14ac:dyDescent="0.2">
      <c r="C168" s="27"/>
      <c r="D168" s="27"/>
      <c r="E168" s="27"/>
      <c r="F168" s="27"/>
    </row>
    <row r="169" spans="3:6" x14ac:dyDescent="0.2">
      <c r="C169" s="27"/>
      <c r="D169" s="27"/>
      <c r="E169" s="27"/>
      <c r="F169" s="27"/>
    </row>
    <row r="170" spans="3:6" x14ac:dyDescent="0.2">
      <c r="C170" s="27"/>
      <c r="D170" s="27"/>
      <c r="E170" s="27"/>
      <c r="F170" s="27"/>
    </row>
    <row r="171" spans="3:6" x14ac:dyDescent="0.2">
      <c r="C171" s="27"/>
      <c r="D171" s="27"/>
      <c r="E171" s="27"/>
      <c r="F171" s="27"/>
    </row>
    <row r="172" spans="3:6" x14ac:dyDescent="0.2">
      <c r="C172" s="27"/>
      <c r="D172" s="27"/>
      <c r="E172" s="27"/>
      <c r="F172" s="27"/>
    </row>
    <row r="173" spans="3:6" x14ac:dyDescent="0.2">
      <c r="C173" s="27"/>
      <c r="D173" s="27"/>
      <c r="E173" s="27"/>
      <c r="F173" s="27"/>
    </row>
    <row r="174" spans="3:6" x14ac:dyDescent="0.2">
      <c r="C174" s="27"/>
      <c r="D174" s="27"/>
      <c r="E174" s="27"/>
      <c r="F174" s="27"/>
    </row>
    <row r="175" spans="3:6" x14ac:dyDescent="0.2">
      <c r="C175" s="27"/>
      <c r="D175" s="27"/>
      <c r="E175" s="27"/>
      <c r="F175" s="27"/>
    </row>
    <row r="176" spans="3:6" x14ac:dyDescent="0.2">
      <c r="C176" s="27"/>
      <c r="D176" s="27"/>
      <c r="E176" s="27"/>
      <c r="F176" s="27"/>
    </row>
    <row r="177" spans="3:6" x14ac:dyDescent="0.2">
      <c r="C177" s="27"/>
      <c r="D177" s="27"/>
      <c r="E177" s="27"/>
      <c r="F177" s="27"/>
    </row>
    <row r="178" spans="3:6" x14ac:dyDescent="0.2">
      <c r="C178" s="27"/>
      <c r="D178" s="27"/>
      <c r="E178" s="27"/>
      <c r="F178" s="27"/>
    </row>
    <row r="179" spans="3:6" x14ac:dyDescent="0.2">
      <c r="C179" s="27"/>
      <c r="D179" s="27"/>
      <c r="E179" s="27"/>
      <c r="F179" s="27"/>
    </row>
    <row r="180" spans="3:6" x14ac:dyDescent="0.2">
      <c r="C180" s="27"/>
      <c r="D180" s="27"/>
      <c r="E180" s="27"/>
      <c r="F180" s="27"/>
    </row>
    <row r="181" spans="3:6" x14ac:dyDescent="0.2">
      <c r="C181" s="27"/>
      <c r="D181" s="27"/>
      <c r="E181" s="27"/>
      <c r="F181" s="27"/>
    </row>
    <row r="182" spans="3:6" x14ac:dyDescent="0.2">
      <c r="C182" s="27"/>
      <c r="D182" s="27"/>
      <c r="E182" s="27"/>
      <c r="F182" s="27"/>
    </row>
    <row r="183" spans="3:6" x14ac:dyDescent="0.2">
      <c r="C183" s="27"/>
      <c r="D183" s="27"/>
      <c r="E183" s="27"/>
      <c r="F183" s="27"/>
    </row>
    <row r="184" spans="3:6" x14ac:dyDescent="0.2">
      <c r="C184" s="27"/>
      <c r="D184" s="27"/>
      <c r="E184" s="27"/>
      <c r="F184" s="27"/>
    </row>
    <row r="185" spans="3:6" x14ac:dyDescent="0.2">
      <c r="C185" s="27"/>
      <c r="D185" s="27"/>
      <c r="E185" s="27"/>
      <c r="F185" s="27"/>
    </row>
    <row r="186" spans="3:6" x14ac:dyDescent="0.2">
      <c r="C186" s="27"/>
      <c r="D186" s="27"/>
      <c r="E186" s="27"/>
      <c r="F186" s="27"/>
    </row>
    <row r="187" spans="3:6" x14ac:dyDescent="0.2">
      <c r="C187" s="27"/>
      <c r="D187" s="27"/>
      <c r="E187" s="27"/>
      <c r="F187" s="27"/>
    </row>
    <row r="188" spans="3:6" x14ac:dyDescent="0.2">
      <c r="C188" s="27"/>
      <c r="D188" s="27"/>
      <c r="E188" s="27"/>
      <c r="F188" s="27"/>
    </row>
    <row r="189" spans="3:6" x14ac:dyDescent="0.2">
      <c r="C189" s="27"/>
      <c r="D189" s="27"/>
      <c r="E189" s="27"/>
      <c r="F189" s="27"/>
    </row>
    <row r="190" spans="3:6" x14ac:dyDescent="0.2">
      <c r="C190" s="27"/>
      <c r="D190" s="27"/>
      <c r="E190" s="27"/>
      <c r="F190" s="27"/>
    </row>
    <row r="191" spans="3:6" x14ac:dyDescent="0.2">
      <c r="C191" s="27"/>
      <c r="D191" s="27"/>
      <c r="E191" s="27"/>
      <c r="F191" s="27"/>
    </row>
    <row r="192" spans="3:6" x14ac:dyDescent="0.2">
      <c r="C192" s="27"/>
      <c r="D192" s="27"/>
      <c r="E192" s="27"/>
      <c r="F192" s="27"/>
    </row>
    <row r="193" spans="3:6" x14ac:dyDescent="0.2">
      <c r="C193" s="27"/>
      <c r="D193" s="27"/>
      <c r="E193" s="27"/>
      <c r="F193" s="27"/>
    </row>
    <row r="194" spans="3:6" x14ac:dyDescent="0.2">
      <c r="C194" s="27"/>
      <c r="D194" s="27"/>
      <c r="E194" s="27"/>
      <c r="F194" s="27"/>
    </row>
    <row r="195" spans="3:6" x14ac:dyDescent="0.2">
      <c r="C195" s="27"/>
      <c r="D195" s="27"/>
      <c r="E195" s="27"/>
      <c r="F195" s="27"/>
    </row>
    <row r="196" spans="3:6" x14ac:dyDescent="0.2">
      <c r="C196" s="27"/>
      <c r="D196" s="27"/>
      <c r="E196" s="27"/>
      <c r="F196" s="27"/>
    </row>
    <row r="197" spans="3:6" x14ac:dyDescent="0.2">
      <c r="C197" s="27"/>
      <c r="D197" s="27"/>
      <c r="E197" s="27"/>
      <c r="F197" s="27"/>
    </row>
    <row r="198" spans="3:6" x14ac:dyDescent="0.2">
      <c r="C198" s="27"/>
      <c r="D198" s="27"/>
      <c r="E198" s="27"/>
      <c r="F198" s="27"/>
    </row>
    <row r="199" spans="3:6" x14ac:dyDescent="0.2">
      <c r="C199" s="27"/>
      <c r="D199" s="27"/>
      <c r="E199" s="27"/>
      <c r="F199" s="27"/>
    </row>
    <row r="200" spans="3:6" x14ac:dyDescent="0.2">
      <c r="C200" s="27"/>
      <c r="D200" s="27"/>
      <c r="E200" s="27"/>
      <c r="F200" s="27"/>
    </row>
    <row r="201" spans="3:6" x14ac:dyDescent="0.2">
      <c r="C201" s="27"/>
      <c r="D201" s="27"/>
      <c r="E201" s="27"/>
      <c r="F201" s="27"/>
    </row>
    <row r="202" spans="3:6" x14ac:dyDescent="0.2">
      <c r="C202" s="27"/>
      <c r="D202" s="27"/>
      <c r="E202" s="27"/>
      <c r="F202" s="27"/>
    </row>
    <row r="203" spans="3:6" x14ac:dyDescent="0.2">
      <c r="C203" s="27"/>
      <c r="D203" s="27"/>
      <c r="E203" s="27"/>
      <c r="F203" s="27"/>
    </row>
    <row r="204" spans="3:6" x14ac:dyDescent="0.2">
      <c r="C204" s="27"/>
      <c r="D204" s="27"/>
      <c r="E204" s="27"/>
      <c r="F204" s="27"/>
    </row>
    <row r="205" spans="3:6" x14ac:dyDescent="0.2">
      <c r="C205" s="27"/>
      <c r="D205" s="27"/>
      <c r="E205" s="27"/>
      <c r="F205" s="27"/>
    </row>
    <row r="206" spans="3:6" x14ac:dyDescent="0.2">
      <c r="C206" s="27"/>
      <c r="D206" s="27"/>
      <c r="E206" s="27"/>
      <c r="F206" s="27"/>
    </row>
    <row r="207" spans="3:6" x14ac:dyDescent="0.2">
      <c r="C207" s="27"/>
      <c r="D207" s="27"/>
      <c r="E207" s="27"/>
      <c r="F207" s="27"/>
    </row>
    <row r="208" spans="3:6" x14ac:dyDescent="0.2">
      <c r="C208" s="27"/>
      <c r="D208" s="27"/>
      <c r="E208" s="27"/>
      <c r="F208" s="27"/>
    </row>
    <row r="209" spans="3:6" x14ac:dyDescent="0.2">
      <c r="C209" s="27"/>
      <c r="D209" s="27"/>
      <c r="E209" s="27"/>
      <c r="F209" s="27"/>
    </row>
    <row r="210" spans="3:6" x14ac:dyDescent="0.2">
      <c r="C210" s="27"/>
      <c r="D210" s="27"/>
      <c r="E210" s="27"/>
      <c r="F210" s="27"/>
    </row>
    <row r="211" spans="3:6" x14ac:dyDescent="0.2">
      <c r="C211" s="27"/>
      <c r="D211" s="27"/>
      <c r="E211" s="27"/>
      <c r="F211" s="27"/>
    </row>
    <row r="212" spans="3:6" x14ac:dyDescent="0.2">
      <c r="C212" s="27"/>
      <c r="D212" s="27"/>
      <c r="E212" s="27"/>
      <c r="F212" s="27"/>
    </row>
    <row r="213" spans="3:6" x14ac:dyDescent="0.2">
      <c r="C213" s="27"/>
      <c r="D213" s="27"/>
      <c r="E213" s="27"/>
      <c r="F213" s="27"/>
    </row>
    <row r="214" spans="3:6" x14ac:dyDescent="0.2">
      <c r="C214" s="27"/>
      <c r="D214" s="27"/>
      <c r="E214" s="27"/>
      <c r="F214" s="27"/>
    </row>
    <row r="215" spans="3:6" x14ac:dyDescent="0.2">
      <c r="C215" s="27"/>
      <c r="D215" s="27"/>
      <c r="E215" s="27"/>
      <c r="F215" s="27"/>
    </row>
    <row r="216" spans="3:6" x14ac:dyDescent="0.2">
      <c r="C216" s="27"/>
      <c r="D216" s="27"/>
      <c r="E216" s="27"/>
      <c r="F216" s="27"/>
    </row>
    <row r="217" spans="3:6" x14ac:dyDescent="0.2">
      <c r="C217" s="27"/>
      <c r="D217" s="27"/>
      <c r="E217" s="27"/>
      <c r="F217" s="27"/>
    </row>
    <row r="218" spans="3:6" x14ac:dyDescent="0.2">
      <c r="C218" s="27"/>
      <c r="D218" s="27"/>
      <c r="E218" s="27"/>
      <c r="F218" s="27"/>
    </row>
    <row r="219" spans="3:6" x14ac:dyDescent="0.2">
      <c r="C219" s="27"/>
      <c r="D219" s="27"/>
      <c r="E219" s="27"/>
      <c r="F219" s="27"/>
    </row>
    <row r="220" spans="3:6" x14ac:dyDescent="0.2">
      <c r="C220" s="27"/>
      <c r="D220" s="27"/>
      <c r="E220" s="27"/>
      <c r="F220" s="27"/>
    </row>
    <row r="221" spans="3:6" x14ac:dyDescent="0.2">
      <c r="C221" s="27"/>
      <c r="D221" s="27"/>
      <c r="E221" s="27"/>
      <c r="F221" s="27"/>
    </row>
    <row r="222" spans="3:6" x14ac:dyDescent="0.2">
      <c r="C222" s="27"/>
      <c r="D222" s="27"/>
      <c r="E222" s="27"/>
      <c r="F222" s="27"/>
    </row>
    <row r="223" spans="3:6" x14ac:dyDescent="0.2">
      <c r="C223" s="27"/>
      <c r="D223" s="27"/>
      <c r="E223" s="27"/>
      <c r="F223" s="27"/>
    </row>
    <row r="224" spans="3:6" x14ac:dyDescent="0.2">
      <c r="C224" s="27"/>
      <c r="D224" s="27"/>
      <c r="E224" s="27"/>
      <c r="F224" s="27"/>
    </row>
    <row r="225" spans="3:6" x14ac:dyDescent="0.2">
      <c r="C225" s="27"/>
      <c r="D225" s="27"/>
      <c r="E225" s="27"/>
      <c r="F225" s="27"/>
    </row>
    <row r="226" spans="3:6" x14ac:dyDescent="0.2">
      <c r="C226" s="27"/>
      <c r="D226" s="27"/>
      <c r="E226" s="27"/>
      <c r="F226" s="27"/>
    </row>
    <row r="227" spans="3:6" x14ac:dyDescent="0.2">
      <c r="C227" s="27"/>
      <c r="D227" s="27"/>
      <c r="E227" s="27"/>
      <c r="F227" s="27"/>
    </row>
    <row r="228" spans="3:6" x14ac:dyDescent="0.2">
      <c r="C228" s="27"/>
      <c r="D228" s="27"/>
      <c r="E228" s="27"/>
      <c r="F228" s="27"/>
    </row>
    <row r="229" spans="3:6" x14ac:dyDescent="0.2">
      <c r="C229" s="27"/>
      <c r="D229" s="27"/>
      <c r="E229" s="27"/>
      <c r="F229" s="27"/>
    </row>
    <row r="230" spans="3:6" x14ac:dyDescent="0.2">
      <c r="C230" s="27"/>
      <c r="D230" s="27"/>
      <c r="E230" s="27"/>
      <c r="F230" s="27"/>
    </row>
    <row r="231" spans="3:6" x14ac:dyDescent="0.2">
      <c r="C231" s="27"/>
      <c r="D231" s="27"/>
      <c r="E231" s="27"/>
      <c r="F231" s="27"/>
    </row>
    <row r="232" spans="3:6" x14ac:dyDescent="0.2">
      <c r="C232" s="27"/>
      <c r="D232" s="27"/>
      <c r="E232" s="27"/>
      <c r="F232" s="27"/>
    </row>
    <row r="233" spans="3:6" x14ac:dyDescent="0.2">
      <c r="C233" s="27"/>
      <c r="D233" s="27"/>
      <c r="E233" s="27"/>
      <c r="F233" s="27"/>
    </row>
    <row r="234" spans="3:6" x14ac:dyDescent="0.2">
      <c r="C234" s="27"/>
      <c r="D234" s="27"/>
      <c r="E234" s="27"/>
      <c r="F234" s="27"/>
    </row>
    <row r="235" spans="3:6" x14ac:dyDescent="0.2">
      <c r="C235" s="27"/>
      <c r="D235" s="27"/>
      <c r="E235" s="27"/>
      <c r="F235" s="27"/>
    </row>
    <row r="236" spans="3:6" x14ac:dyDescent="0.2">
      <c r="C236" s="27"/>
      <c r="D236" s="27"/>
      <c r="E236" s="27"/>
      <c r="F236" s="27"/>
    </row>
    <row r="237" spans="3:6" x14ac:dyDescent="0.2">
      <c r="C237" s="27"/>
      <c r="D237" s="27"/>
      <c r="E237" s="27"/>
      <c r="F237" s="27"/>
    </row>
    <row r="238" spans="3:6" x14ac:dyDescent="0.2">
      <c r="C238" s="27"/>
      <c r="D238" s="27"/>
      <c r="E238" s="27"/>
      <c r="F238" s="27"/>
    </row>
    <row r="239" spans="3:6" x14ac:dyDescent="0.2">
      <c r="C239" s="27"/>
      <c r="D239" s="27"/>
      <c r="E239" s="27"/>
      <c r="F239" s="27"/>
    </row>
    <row r="240" spans="3:6" x14ac:dyDescent="0.2">
      <c r="C240" s="27"/>
      <c r="D240" s="27"/>
      <c r="E240" s="27"/>
      <c r="F240" s="27"/>
    </row>
    <row r="241" spans="3:6" x14ac:dyDescent="0.2">
      <c r="C241" s="27"/>
      <c r="D241" s="27"/>
      <c r="E241" s="27"/>
      <c r="F241" s="27"/>
    </row>
    <row r="242" spans="3:6" x14ac:dyDescent="0.2">
      <c r="C242" s="27"/>
      <c r="D242" s="27"/>
      <c r="E242" s="27"/>
      <c r="F242" s="27"/>
    </row>
    <row r="243" spans="3:6" x14ac:dyDescent="0.2">
      <c r="C243" s="27"/>
      <c r="D243" s="27"/>
      <c r="E243" s="27"/>
      <c r="F243" s="27"/>
    </row>
    <row r="244" spans="3:6" x14ac:dyDescent="0.2">
      <c r="C244" s="27"/>
      <c r="D244" s="27"/>
      <c r="E244" s="27"/>
      <c r="F244" s="27"/>
    </row>
    <row r="245" spans="3:6" x14ac:dyDescent="0.2">
      <c r="C245" s="27"/>
      <c r="D245" s="27"/>
      <c r="E245" s="27"/>
      <c r="F245" s="27"/>
    </row>
    <row r="246" spans="3:6" x14ac:dyDescent="0.2">
      <c r="C246" s="27"/>
      <c r="D246" s="27"/>
      <c r="E246" s="27"/>
      <c r="F246" s="27"/>
    </row>
    <row r="247" spans="3:6" x14ac:dyDescent="0.2">
      <c r="C247" s="27"/>
      <c r="D247" s="27"/>
      <c r="E247" s="27"/>
      <c r="F247" s="27"/>
    </row>
    <row r="248" spans="3:6" x14ac:dyDescent="0.2">
      <c r="C248" s="27"/>
      <c r="D248" s="27"/>
      <c r="E248" s="27"/>
      <c r="F248" s="27"/>
    </row>
    <row r="249" spans="3:6" x14ac:dyDescent="0.2">
      <c r="C249" s="27"/>
      <c r="D249" s="27"/>
      <c r="E249" s="27"/>
      <c r="F249" s="27"/>
    </row>
    <row r="250" spans="3:6" x14ac:dyDescent="0.2">
      <c r="C250" s="27"/>
      <c r="D250" s="27"/>
      <c r="E250" s="27"/>
      <c r="F250" s="27"/>
    </row>
    <row r="251" spans="3:6" x14ac:dyDescent="0.2">
      <c r="C251" s="27"/>
      <c r="D251" s="27"/>
      <c r="E251" s="27"/>
      <c r="F251" s="27"/>
    </row>
    <row r="252" spans="3:6" x14ac:dyDescent="0.2">
      <c r="C252" s="27"/>
      <c r="D252" s="27"/>
      <c r="E252" s="27"/>
      <c r="F252" s="27"/>
    </row>
    <row r="253" spans="3:6" x14ac:dyDescent="0.2">
      <c r="C253" s="27"/>
      <c r="D253" s="27"/>
      <c r="E253" s="27"/>
      <c r="F253" s="27"/>
    </row>
  </sheetData>
  <customSheetViews>
    <customSheetView guid="{A7BD13BF-7E57-44D7-9B02-43E2FA430390}" scale="90" showPageBreaks="1" showGridLines="0" fitToPage="1" printArea="1" topLeftCell="A4">
      <selection activeCell="D37" sqref="D37"/>
      <pageMargins left="0.5" right="0.5" top="0.5" bottom="0.5" header="0.25" footer="0.25"/>
      <printOptions horizontalCentered="1"/>
      <pageSetup scale="97" orientation="landscape" r:id="rId1"/>
      <headerFooter alignWithMargins="0"/>
    </customSheetView>
    <customSheetView guid="{C29552AC-6B79-447F-B962-713ED43BDF1A}" scale="90" showPageBreaks="1" fitToPage="1" printArea="1" topLeftCell="F16">
      <selection activeCell="H36" sqref="H36"/>
      <pageMargins left="0.5" right="0.5" top="0.5" bottom="0.5" header="0.25" footer="0.25"/>
      <printOptions horizontalCentered="1"/>
      <pageSetup scale="96" orientation="landscape" r:id="rId2"/>
      <headerFooter alignWithMargins="0"/>
    </customSheetView>
    <customSheetView guid="{6ED201AA-AB2E-4FE7-B06B-B07932512C4D}" scale="90" showPageBreaks="1" fitToPage="1" printArea="1" topLeftCell="A4">
      <selection activeCell="G11" sqref="G11"/>
      <pageMargins left="0.5" right="0.5" top="0.5" bottom="0.5" header="0.25" footer="0.25"/>
      <printOptions horizontalCentered="1"/>
      <pageSetup scale="97" orientation="landscape" r:id="rId3"/>
      <headerFooter alignWithMargins="0"/>
    </customSheetView>
    <customSheetView guid="{D711E10B-9441-4991-A2CB-ED400E35790D}" scale="90" showGridLines="0" fitToPage="1" topLeftCell="A4">
      <selection activeCell="E36" sqref="E36"/>
      <pageMargins left="0.5" right="0.5" top="0.5" bottom="0.5" header="0.25" footer="0.25"/>
      <printOptions horizontalCentered="1"/>
      <pageSetup scale="97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theme="4" tint="0.59999389629810485"/>
    <pageSetUpPr fitToPage="1"/>
  </sheetPr>
  <dimension ref="A1:L36"/>
  <sheetViews>
    <sheetView zoomScale="90" zoomScaleNormal="90" workbookViewId="0">
      <selection activeCell="K22" sqref="K22"/>
    </sheetView>
  </sheetViews>
  <sheetFormatPr defaultColWidth="9.140625" defaultRowHeight="15" x14ac:dyDescent="0.2"/>
  <cols>
    <col min="1" max="1" width="5.7109375" style="1" customWidth="1"/>
    <col min="2" max="2" width="41.7109375" style="1" customWidth="1"/>
    <col min="3" max="5" width="13.7109375" style="8" customWidth="1"/>
    <col min="6" max="6" width="16.5703125" style="8" customWidth="1"/>
    <col min="7" max="8" width="13.7109375" style="8" customWidth="1"/>
    <col min="9" max="10" width="9.140625" style="8"/>
    <col min="11" max="11" width="15.140625" style="8" customWidth="1"/>
    <col min="12" max="12" width="13.85546875" style="8" customWidth="1"/>
    <col min="13" max="13" width="9.140625" style="8"/>
    <col min="14" max="14" width="12.85546875" style="8" customWidth="1"/>
    <col min="15" max="16384" width="9.140625" style="8"/>
  </cols>
  <sheetData>
    <row r="1" spans="1:12" x14ac:dyDescent="0.2">
      <c r="A1" s="1" t="s">
        <v>1</v>
      </c>
      <c r="H1" s="384" t="s">
        <v>593</v>
      </c>
    </row>
    <row r="2" spans="1:12" x14ac:dyDescent="0.2">
      <c r="A2" s="3" t="str">
        <f>+'KTW-4,5,8 p1 - Adjust Issues'!A3</f>
        <v>Test Year Based on Twelve Months Ended September 30, 2020</v>
      </c>
      <c r="H2" s="384" t="s">
        <v>614</v>
      </c>
    </row>
    <row r="3" spans="1:12" x14ac:dyDescent="0.2">
      <c r="A3" s="1" t="s">
        <v>4</v>
      </c>
      <c r="H3" s="22"/>
    </row>
    <row r="4" spans="1:12" x14ac:dyDescent="0.2">
      <c r="G4" s="166"/>
    </row>
    <row r="5" spans="1:12" x14ac:dyDescent="0.2">
      <c r="C5" s="5"/>
      <c r="D5" s="5"/>
      <c r="E5" s="5"/>
      <c r="G5" s="61"/>
    </row>
    <row r="6" spans="1:12" x14ac:dyDescent="0.2">
      <c r="A6" s="5" t="s">
        <v>15</v>
      </c>
      <c r="C6" s="165" t="s">
        <v>443</v>
      </c>
      <c r="D6" s="165" t="s">
        <v>487</v>
      </c>
      <c r="E6" s="165" t="s">
        <v>497</v>
      </c>
      <c r="F6" s="5" t="s">
        <v>27</v>
      </c>
      <c r="G6" s="5" t="s">
        <v>11</v>
      </c>
      <c r="H6" s="5"/>
    </row>
    <row r="7" spans="1:12" x14ac:dyDescent="0.2">
      <c r="A7" s="430" t="s">
        <v>31</v>
      </c>
      <c r="C7" s="167" t="s">
        <v>442</v>
      </c>
      <c r="D7" s="167" t="s">
        <v>488</v>
      </c>
      <c r="E7" s="167" t="s">
        <v>498</v>
      </c>
      <c r="F7" s="430" t="s">
        <v>37</v>
      </c>
      <c r="G7" s="430" t="s">
        <v>49</v>
      </c>
      <c r="H7" s="430" t="s">
        <v>26</v>
      </c>
    </row>
    <row r="8" spans="1:12" x14ac:dyDescent="0.2">
      <c r="C8" s="5" t="s">
        <v>619</v>
      </c>
      <c r="D8" s="5" t="s">
        <v>620</v>
      </c>
      <c r="E8" s="5" t="s">
        <v>621</v>
      </c>
      <c r="F8" s="5" t="s">
        <v>623</v>
      </c>
      <c r="G8" s="5" t="s">
        <v>622</v>
      </c>
      <c r="H8" s="5" t="s">
        <v>624</v>
      </c>
    </row>
    <row r="9" spans="1:12" x14ac:dyDescent="0.2">
      <c r="B9" s="430" t="s">
        <v>449</v>
      </c>
    </row>
    <row r="10" spans="1:12" x14ac:dyDescent="0.2">
      <c r="B10" s="431"/>
    </row>
    <row r="11" spans="1:12" x14ac:dyDescent="0.2">
      <c r="A11" s="5">
        <v>1</v>
      </c>
      <c r="B11" s="156" t="s">
        <v>73</v>
      </c>
      <c r="C11" s="57">
        <v>6107412</v>
      </c>
      <c r="D11" s="57">
        <v>6248052.9786258182</v>
      </c>
      <c r="E11" s="57">
        <v>6790398.8596917978</v>
      </c>
      <c r="F11" s="33">
        <f>SUM(C11:E11)/3</f>
        <v>6381954.6127725393</v>
      </c>
      <c r="G11" s="33">
        <v>5850926.6907064337</v>
      </c>
      <c r="H11" s="33">
        <f>F11-G11</f>
        <v>531027.92206610553</v>
      </c>
    </row>
    <row r="12" spans="1:12" x14ac:dyDescent="0.2">
      <c r="A12" s="5"/>
      <c r="B12" s="3"/>
      <c r="C12" s="169"/>
      <c r="D12" s="169"/>
      <c r="E12" s="169"/>
      <c r="F12" s="169"/>
      <c r="G12" s="169"/>
      <c r="H12" s="169"/>
    </row>
    <row r="13" spans="1:12" x14ac:dyDescent="0.2">
      <c r="A13" s="5">
        <v>2</v>
      </c>
      <c r="B13" s="156" t="s">
        <v>100</v>
      </c>
      <c r="C13" s="169">
        <v>2952686</v>
      </c>
      <c r="D13" s="169">
        <v>2907512.6813741815</v>
      </c>
      <c r="E13" s="169">
        <v>3267795.5103082033</v>
      </c>
      <c r="F13" s="169">
        <f>SUM(C13:E13)/3</f>
        <v>3042664.7305607945</v>
      </c>
      <c r="G13" s="169">
        <v>3418797.3744934336</v>
      </c>
      <c r="H13" s="169">
        <f>F13-G13</f>
        <v>-376132.64393263916</v>
      </c>
      <c r="L13" s="20"/>
    </row>
    <row r="14" spans="1:12" x14ac:dyDescent="0.2">
      <c r="A14" s="5"/>
      <c r="B14" s="156"/>
      <c r="C14" s="169"/>
      <c r="D14" s="169"/>
      <c r="E14" s="169"/>
      <c r="F14" s="169"/>
      <c r="G14" s="169"/>
      <c r="H14" s="169"/>
      <c r="L14" s="20"/>
    </row>
    <row r="15" spans="1:12" x14ac:dyDescent="0.2">
      <c r="A15" s="5"/>
      <c r="B15" s="156"/>
      <c r="C15" s="169"/>
      <c r="D15" s="169"/>
      <c r="E15" s="169"/>
      <c r="F15" s="169"/>
      <c r="G15" s="169"/>
      <c r="H15" s="169"/>
      <c r="L15" s="379"/>
    </row>
    <row r="16" spans="1:12" x14ac:dyDescent="0.2">
      <c r="A16" s="5"/>
      <c r="B16" s="167" t="s">
        <v>450</v>
      </c>
      <c r="C16" s="169"/>
      <c r="D16" s="169"/>
      <c r="E16" s="169"/>
      <c r="F16" s="169"/>
      <c r="G16" s="169"/>
      <c r="H16" s="169"/>
      <c r="L16" s="444"/>
    </row>
    <row r="17" spans="1:12" x14ac:dyDescent="0.2">
      <c r="A17" s="5"/>
      <c r="B17" s="170"/>
      <c r="C17" s="169"/>
      <c r="D17" s="169"/>
      <c r="E17" s="169"/>
      <c r="F17" s="169"/>
      <c r="G17" s="169"/>
      <c r="H17" s="169"/>
      <c r="L17" s="44"/>
    </row>
    <row r="18" spans="1:12" x14ac:dyDescent="0.2">
      <c r="A18" s="5">
        <v>3</v>
      </c>
      <c r="B18" s="156" t="s">
        <v>551</v>
      </c>
      <c r="C18" s="445" t="s">
        <v>495</v>
      </c>
      <c r="D18" s="445" t="s">
        <v>495</v>
      </c>
      <c r="E18" s="445" t="s">
        <v>495</v>
      </c>
      <c r="F18" s="445" t="s">
        <v>495</v>
      </c>
      <c r="G18" s="169">
        <v>147938</v>
      </c>
      <c r="H18" s="169">
        <f>-G18</f>
        <v>-147938</v>
      </c>
    </row>
    <row r="19" spans="1:12" x14ac:dyDescent="0.2">
      <c r="A19" s="5"/>
      <c r="B19" s="156"/>
      <c r="C19" s="445" t="s">
        <v>495</v>
      </c>
      <c r="D19" s="445" t="s">
        <v>495</v>
      </c>
      <c r="E19" s="445" t="s">
        <v>495</v>
      </c>
      <c r="F19" s="445" t="s">
        <v>495</v>
      </c>
      <c r="G19" s="169"/>
      <c r="H19" s="169"/>
    </row>
    <row r="20" spans="1:12" x14ac:dyDescent="0.2">
      <c r="A20" s="5">
        <v>4</v>
      </c>
      <c r="B20" s="156" t="s">
        <v>552</v>
      </c>
      <c r="C20" s="445" t="s">
        <v>495</v>
      </c>
      <c r="D20" s="445" t="s">
        <v>495</v>
      </c>
      <c r="E20" s="445" t="s">
        <v>495</v>
      </c>
      <c r="F20" s="445" t="s">
        <v>495</v>
      </c>
      <c r="G20" s="169">
        <v>97966</v>
      </c>
      <c r="H20" s="169">
        <f>-G20</f>
        <v>-97966</v>
      </c>
    </row>
    <row r="21" spans="1:12" x14ac:dyDescent="0.2">
      <c r="A21" s="5"/>
      <c r="B21" s="156"/>
      <c r="C21" s="16"/>
      <c r="D21" s="16"/>
      <c r="E21" s="16"/>
      <c r="F21" s="16"/>
      <c r="G21" s="16"/>
      <c r="H21" s="16"/>
    </row>
    <row r="22" spans="1:12" x14ac:dyDescent="0.2">
      <c r="A22" s="5">
        <v>5</v>
      </c>
      <c r="B22" s="156" t="s">
        <v>62</v>
      </c>
      <c r="C22" s="14">
        <f>+C11+C13</f>
        <v>9060098</v>
      </c>
      <c r="D22" s="14">
        <f>+D11+D13</f>
        <v>9155565.6600000001</v>
      </c>
      <c r="E22" s="14">
        <f>+E11+E13</f>
        <v>10058194.370000001</v>
      </c>
      <c r="F22" s="14">
        <f>+F11+F13</f>
        <v>9424619.3433333337</v>
      </c>
      <c r="G22" s="14">
        <f>+G11+G13+G18+G20</f>
        <v>9515628.0651998669</v>
      </c>
      <c r="H22" s="14">
        <f>+H11+H13+H18+H20</f>
        <v>-91008.721866533626</v>
      </c>
    </row>
    <row r="23" spans="1:12" x14ac:dyDescent="0.2">
      <c r="A23" s="5"/>
      <c r="B23" s="156"/>
      <c r="C23" s="171"/>
      <c r="D23" s="171"/>
      <c r="E23" s="171"/>
      <c r="F23" s="171"/>
      <c r="G23" s="171"/>
      <c r="H23" s="171"/>
    </row>
    <row r="24" spans="1:12" x14ac:dyDescent="0.2">
      <c r="A24" s="5">
        <v>6</v>
      </c>
      <c r="B24" s="3" t="s">
        <v>207</v>
      </c>
      <c r="C24" s="171"/>
      <c r="D24" s="171"/>
      <c r="E24" s="171"/>
      <c r="F24" s="171"/>
      <c r="G24" s="171"/>
      <c r="H24" s="172">
        <f>H11+H18</f>
        <v>383089.92206610553</v>
      </c>
    </row>
    <row r="25" spans="1:12" x14ac:dyDescent="0.2">
      <c r="A25" s="5">
        <v>7</v>
      </c>
      <c r="B25" s="156" t="s">
        <v>141</v>
      </c>
      <c r="C25" s="171"/>
      <c r="D25" s="171"/>
      <c r="E25" s="171"/>
      <c r="F25" s="173" t="s">
        <v>148</v>
      </c>
      <c r="H25" s="53">
        <f>'KTW-3 p4 - Factors'!D20</f>
        <v>0.109888</v>
      </c>
    </row>
    <row r="26" spans="1:12" ht="15.75" thickBot="1" x14ac:dyDescent="0.25">
      <c r="A26" s="5">
        <v>8</v>
      </c>
      <c r="B26" s="3" t="s">
        <v>209</v>
      </c>
      <c r="C26" s="171"/>
      <c r="D26" s="171"/>
      <c r="E26" s="171"/>
      <c r="F26" s="173"/>
      <c r="H26" s="293">
        <f>(H24*H25)</f>
        <v>42096.985356000201</v>
      </c>
    </row>
    <row r="27" spans="1:12" ht="15.75" thickTop="1" x14ac:dyDescent="0.2">
      <c r="A27" s="5"/>
      <c r="B27" s="156"/>
      <c r="C27" s="171"/>
      <c r="D27" s="171"/>
      <c r="E27" s="171"/>
      <c r="F27" s="173"/>
      <c r="H27" s="172"/>
    </row>
    <row r="28" spans="1:12" x14ac:dyDescent="0.2">
      <c r="A28" s="5">
        <v>9</v>
      </c>
      <c r="B28" s="3" t="s">
        <v>206</v>
      </c>
      <c r="C28" s="171"/>
      <c r="D28" s="171"/>
      <c r="E28" s="171"/>
      <c r="F28" s="173"/>
      <c r="H28" s="172">
        <f>H13+H20</f>
        <v>-474098.64393263916</v>
      </c>
    </row>
    <row r="29" spans="1:12" x14ac:dyDescent="0.2">
      <c r="A29" s="5">
        <v>10</v>
      </c>
      <c r="B29" s="156" t="s">
        <v>141</v>
      </c>
      <c r="C29" s="171"/>
      <c r="D29" s="171"/>
      <c r="E29" s="171"/>
      <c r="F29" s="1" t="s">
        <v>36</v>
      </c>
      <c r="H29" s="53">
        <f>'KTW-3 p4 - Factors'!D25</f>
        <v>0.11970000000000003</v>
      </c>
    </row>
    <row r="30" spans="1:12" ht="15.75" thickBot="1" x14ac:dyDescent="0.25">
      <c r="A30" s="5">
        <v>11</v>
      </c>
      <c r="B30" s="3" t="s">
        <v>208</v>
      </c>
      <c r="C30" s="171"/>
      <c r="D30" s="171"/>
      <c r="E30" s="171"/>
      <c r="H30" s="18">
        <f>H28*H29</f>
        <v>-56749.607678736924</v>
      </c>
    </row>
    <row r="31" spans="1:12" ht="15.75" thickTop="1" x14ac:dyDescent="0.2">
      <c r="C31" s="171"/>
      <c r="D31" s="171"/>
      <c r="E31" s="171"/>
    </row>
    <row r="32" spans="1:12" x14ac:dyDescent="0.2">
      <c r="C32" s="171"/>
      <c r="D32" s="171"/>
      <c r="E32" s="171"/>
    </row>
    <row r="33" spans="1:8" x14ac:dyDescent="0.2">
      <c r="A33" s="1" t="s">
        <v>162</v>
      </c>
      <c r="H33" s="22"/>
    </row>
    <row r="34" spans="1:8" x14ac:dyDescent="0.2">
      <c r="A34" s="1" t="s">
        <v>555</v>
      </c>
    </row>
    <row r="36" spans="1:8" x14ac:dyDescent="0.2">
      <c r="B36" s="446"/>
    </row>
  </sheetData>
  <customSheetViews>
    <customSheetView guid="{A7BD13BF-7E57-44D7-9B02-43E2FA430390}" scale="90" showPageBreaks="1" fitToPage="1" printArea="1">
      <selection activeCell="G13" sqref="G13"/>
      <pageMargins left="0.5" right="0.5" top="0.5" bottom="0.5" header="0.25" footer="0.25"/>
      <printOptions horizontalCentered="1"/>
      <pageSetup scale="98" orientation="landscape" r:id="rId1"/>
      <headerFooter alignWithMargins="0"/>
    </customSheetView>
    <customSheetView guid="{C29552AC-6B79-447F-B962-713ED43BDF1A}" scale="90" showPageBreaks="1" fitToPage="1" printArea="1" topLeftCell="A3">
      <selection activeCell="K24" sqref="K24"/>
      <pageMargins left="0.5" right="0.5" top="0.5" bottom="0.5" header="0.25" footer="0.25"/>
      <printOptions horizontalCentered="1"/>
      <pageSetup scale="96" orientation="landscape" r:id="rId2"/>
      <headerFooter alignWithMargins="0"/>
    </customSheetView>
    <customSheetView guid="{6ED201AA-AB2E-4FE7-B06B-B07932512C4D}" scale="90" showPageBreaks="1" fitToPage="1" printArea="1">
      <selection activeCell="K24" sqref="K24"/>
      <pageMargins left="0.5" right="0.5" top="0.5" bottom="0.5" header="0.25" footer="0.25"/>
      <printOptions horizontalCentered="1"/>
      <pageSetup scale="98" orientation="landscape" r:id="rId3"/>
      <headerFooter alignWithMargins="0"/>
    </customSheetView>
    <customSheetView guid="{D711E10B-9441-4991-A2CB-ED400E35790D}" scale="90" fitToPage="1" topLeftCell="A7">
      <selection activeCell="N33" sqref="N33"/>
      <pageMargins left="0.5" right="0.5" top="0.5" bottom="0.5" header="0.25" footer="0.25"/>
      <printOptions horizontalCentered="1"/>
      <pageSetup scale="98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98" orientation="landscape" r:id="rId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theme="4" tint="0.59999389629810485"/>
    <pageSetUpPr fitToPage="1"/>
  </sheetPr>
  <dimension ref="A1:E18"/>
  <sheetViews>
    <sheetView workbookViewId="0">
      <selection activeCell="C11" sqref="C11"/>
    </sheetView>
  </sheetViews>
  <sheetFormatPr defaultColWidth="9.140625" defaultRowHeight="15" x14ac:dyDescent="0.2"/>
  <cols>
    <col min="1" max="1" width="5.7109375" style="35" customWidth="1"/>
    <col min="2" max="2" width="55" style="35" customWidth="1"/>
    <col min="3" max="3" width="14.85546875" style="35" customWidth="1"/>
    <col min="4" max="16384" width="9.140625" style="35"/>
  </cols>
  <sheetData>
    <row r="1" spans="1:5" x14ac:dyDescent="0.2">
      <c r="A1" s="34" t="str">
        <f>'KTW-4 p7 - Uncollectible'!A1</f>
        <v>NW Natural</v>
      </c>
      <c r="B1" s="34"/>
      <c r="C1" s="384" t="s">
        <v>593</v>
      </c>
    </row>
    <row r="2" spans="1:5" x14ac:dyDescent="0.2">
      <c r="A2" s="34" t="str">
        <f>'KTW-4 p7 - Uncollectible'!A2</f>
        <v>Test Year Based on Twelve Months Ended September 30, 2020</v>
      </c>
      <c r="B2" s="34"/>
      <c r="C2" s="384" t="s">
        <v>615</v>
      </c>
    </row>
    <row r="3" spans="1:5" x14ac:dyDescent="0.2">
      <c r="A3" s="40" t="s">
        <v>254</v>
      </c>
      <c r="B3" s="34"/>
      <c r="C3" s="34"/>
    </row>
    <row r="4" spans="1:5" x14ac:dyDescent="0.2">
      <c r="A4" s="276"/>
      <c r="B4" s="34"/>
      <c r="C4" s="34"/>
    </row>
    <row r="5" spans="1:5" x14ac:dyDescent="0.2">
      <c r="A5" s="34"/>
      <c r="B5" s="34"/>
      <c r="C5" s="34"/>
    </row>
    <row r="6" spans="1:5" x14ac:dyDescent="0.2">
      <c r="A6" s="37" t="s">
        <v>15</v>
      </c>
      <c r="B6" s="34"/>
      <c r="C6" s="34"/>
    </row>
    <row r="7" spans="1:5" x14ac:dyDescent="0.2">
      <c r="A7" s="39" t="s">
        <v>31</v>
      </c>
      <c r="B7" s="34"/>
      <c r="C7" s="39" t="s">
        <v>422</v>
      </c>
      <c r="E7" s="275"/>
    </row>
    <row r="8" spans="1:5" x14ac:dyDescent="0.2">
      <c r="A8" s="37"/>
      <c r="B8" s="34"/>
      <c r="C8" s="37" t="s">
        <v>55</v>
      </c>
    </row>
    <row r="9" spans="1:5" x14ac:dyDescent="0.2">
      <c r="A9" s="37"/>
      <c r="B9" s="34"/>
    </row>
    <row r="10" spans="1:5" x14ac:dyDescent="0.2">
      <c r="A10" s="37"/>
      <c r="B10" s="34"/>
      <c r="E10" s="48"/>
    </row>
    <row r="11" spans="1:5" x14ac:dyDescent="0.2">
      <c r="A11" s="37">
        <v>1</v>
      </c>
      <c r="B11" s="34" t="s">
        <v>255</v>
      </c>
      <c r="C11" s="130">
        <v>1671587.02</v>
      </c>
    </row>
    <row r="12" spans="1:5" x14ac:dyDescent="0.2">
      <c r="C12" s="175"/>
    </row>
    <row r="13" spans="1:5" x14ac:dyDescent="0.2">
      <c r="A13" s="37">
        <v>2</v>
      </c>
      <c r="B13" s="34" t="s">
        <v>529</v>
      </c>
      <c r="C13" s="412">
        <v>1584665.0200000009</v>
      </c>
    </row>
    <row r="14" spans="1:5" x14ac:dyDescent="0.2">
      <c r="A14" s="37"/>
      <c r="B14" s="34"/>
      <c r="C14" s="412"/>
    </row>
    <row r="15" spans="1:5" x14ac:dyDescent="0.2">
      <c r="A15" s="37">
        <v>3</v>
      </c>
      <c r="B15" s="34" t="s">
        <v>474</v>
      </c>
      <c r="C15" s="413">
        <v>-36466.9</v>
      </c>
      <c r="E15" s="176"/>
    </row>
    <row r="16" spans="1:5" x14ac:dyDescent="0.2">
      <c r="C16" s="175"/>
    </row>
    <row r="17" spans="1:3" ht="15.75" thickBot="1" x14ac:dyDescent="0.25">
      <c r="A17" s="37">
        <v>4</v>
      </c>
      <c r="B17" s="34" t="s">
        <v>26</v>
      </c>
      <c r="C17" s="177">
        <f>+C13-C11-C15</f>
        <v>-50455.099999999067</v>
      </c>
    </row>
    <row r="18" spans="1:3" ht="15.75" thickTop="1" x14ac:dyDescent="0.2"/>
  </sheetData>
  <customSheetViews>
    <customSheetView guid="{A7BD13BF-7E57-44D7-9B02-43E2FA430390}" fitToPage="1">
      <selection activeCell="H21" sqref="H21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fitToPage="1">
      <selection activeCell="G16" sqref="G16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fitToPage="1">
      <selection activeCell="G16" sqref="G16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>
      <selection activeCell="C11" sqref="C11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phoneticPr fontId="5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theme="4" tint="0.59999389629810485"/>
    <pageSetUpPr fitToPage="1"/>
  </sheetPr>
  <dimension ref="A1:F48"/>
  <sheetViews>
    <sheetView zoomScaleNormal="100" workbookViewId="0">
      <selection activeCell="F14" sqref="F14"/>
    </sheetView>
  </sheetViews>
  <sheetFormatPr defaultColWidth="9.140625" defaultRowHeight="15" x14ac:dyDescent="0.2"/>
  <cols>
    <col min="1" max="1" width="4.7109375" style="1" customWidth="1"/>
    <col min="2" max="2" width="41.7109375" style="1" customWidth="1"/>
    <col min="3" max="6" width="14.7109375" style="8" customWidth="1"/>
    <col min="7" max="16384" width="9.140625" style="8"/>
  </cols>
  <sheetData>
    <row r="1" spans="1:6" x14ac:dyDescent="0.2">
      <c r="A1" s="178" t="s">
        <v>0</v>
      </c>
      <c r="B1" s="178"/>
      <c r="C1" s="179"/>
      <c r="D1" s="179"/>
      <c r="E1" s="179"/>
      <c r="F1" s="384" t="s">
        <v>593</v>
      </c>
    </row>
    <row r="2" spans="1:6" x14ac:dyDescent="0.2">
      <c r="A2" s="178" t="str">
        <f>'KTW-4,5,8 p1 - Adjust Issues'!A3</f>
        <v>Test Year Based on Twelve Months Ended September 30, 2020</v>
      </c>
      <c r="B2" s="178"/>
      <c r="C2" s="179"/>
      <c r="D2" s="179"/>
      <c r="E2" s="179"/>
      <c r="F2" s="384" t="s">
        <v>596</v>
      </c>
    </row>
    <row r="3" spans="1:6" x14ac:dyDescent="0.2">
      <c r="A3" s="178" t="s">
        <v>5</v>
      </c>
      <c r="B3" s="178"/>
      <c r="C3" s="179"/>
      <c r="D3" s="50"/>
      <c r="E3" s="179"/>
      <c r="F3" s="179"/>
    </row>
    <row r="4" spans="1:6" x14ac:dyDescent="0.2">
      <c r="A4" s="178"/>
      <c r="B4" s="178"/>
      <c r="C4" s="179"/>
      <c r="D4" s="179"/>
      <c r="E4" s="179"/>
      <c r="F4" s="179"/>
    </row>
    <row r="5" spans="1:6" x14ac:dyDescent="0.2">
      <c r="A5" s="178"/>
      <c r="B5" s="178"/>
      <c r="C5" s="179"/>
      <c r="D5" s="179"/>
      <c r="E5" s="179"/>
      <c r="F5" s="179"/>
    </row>
    <row r="6" spans="1:6" x14ac:dyDescent="0.2">
      <c r="A6" s="178"/>
      <c r="B6" s="178"/>
      <c r="C6" s="179"/>
      <c r="D6" s="295" t="s">
        <v>583</v>
      </c>
      <c r="E6" s="295"/>
      <c r="F6" s="295"/>
    </row>
    <row r="7" spans="1:6" x14ac:dyDescent="0.2">
      <c r="A7" s="5" t="s">
        <v>15</v>
      </c>
      <c r="B7" s="178"/>
      <c r="C7" s="165" t="s">
        <v>485</v>
      </c>
      <c r="D7" s="180">
        <v>2020</v>
      </c>
      <c r="E7" s="180">
        <f>+D7-1</f>
        <v>2019</v>
      </c>
      <c r="F7" s="180">
        <f>+E7-1</f>
        <v>2018</v>
      </c>
    </row>
    <row r="8" spans="1:6" x14ac:dyDescent="0.2">
      <c r="A8" s="25" t="s">
        <v>31</v>
      </c>
      <c r="B8" s="178"/>
      <c r="C8" s="283" t="s">
        <v>62</v>
      </c>
      <c r="D8" s="283" t="s">
        <v>63</v>
      </c>
      <c r="E8" s="283" t="s">
        <v>63</v>
      </c>
      <c r="F8" s="283" t="s">
        <v>63</v>
      </c>
    </row>
    <row r="9" spans="1:6" x14ac:dyDescent="0.2">
      <c r="A9" s="5"/>
      <c r="B9" s="178"/>
      <c r="C9" s="5" t="s">
        <v>55</v>
      </c>
      <c r="D9" s="5" t="s">
        <v>56</v>
      </c>
      <c r="E9" s="5" t="s">
        <v>57</v>
      </c>
      <c r="F9" s="5" t="s">
        <v>58</v>
      </c>
    </row>
    <row r="10" spans="1:6" x14ac:dyDescent="0.2">
      <c r="A10" s="5"/>
      <c r="B10" s="178" t="s">
        <v>76</v>
      </c>
      <c r="C10" s="179"/>
      <c r="D10" s="179"/>
      <c r="E10" s="179"/>
      <c r="F10" s="179"/>
    </row>
    <row r="11" spans="1:6" x14ac:dyDescent="0.2">
      <c r="A11" s="5">
        <v>1</v>
      </c>
      <c r="B11" s="178" t="s">
        <v>81</v>
      </c>
      <c r="C11" s="181">
        <f>SUM(D11:F11)</f>
        <v>1290516016.9099998</v>
      </c>
      <c r="D11" s="181">
        <v>439710433.13999993</v>
      </c>
      <c r="E11" s="181">
        <v>422767445.25999999</v>
      </c>
      <c r="F11" s="181">
        <v>428038138.50999999</v>
      </c>
    </row>
    <row r="12" spans="1:6" x14ac:dyDescent="0.2">
      <c r="A12" s="5">
        <v>2</v>
      </c>
      <c r="B12" s="178" t="s">
        <v>86</v>
      </c>
      <c r="C12" s="182">
        <f>SUM(D12:F12)</f>
        <v>636582281.76999998</v>
      </c>
      <c r="D12" s="181">
        <v>214967992.53000003</v>
      </c>
      <c r="E12" s="181">
        <v>210023076.59</v>
      </c>
      <c r="F12" s="181">
        <v>211591212.64999998</v>
      </c>
    </row>
    <row r="13" spans="1:6" x14ac:dyDescent="0.2">
      <c r="A13" s="5">
        <v>3</v>
      </c>
      <c r="B13" s="178" t="s">
        <v>90</v>
      </c>
      <c r="C13" s="182">
        <f>SUM(D13:F13)</f>
        <v>63876082.109999999</v>
      </c>
      <c r="D13" s="181">
        <v>20955144.969999999</v>
      </c>
      <c r="E13" s="181">
        <v>20816424.960000001</v>
      </c>
      <c r="F13" s="181">
        <v>22104512.18</v>
      </c>
    </row>
    <row r="14" spans="1:6" x14ac:dyDescent="0.2">
      <c r="A14" s="5">
        <v>4</v>
      </c>
      <c r="B14" s="178" t="s">
        <v>95</v>
      </c>
      <c r="C14" s="183">
        <f>SUM(D14:F14)</f>
        <v>57629241.169999987</v>
      </c>
      <c r="D14" s="373">
        <v>17053781.699999999</v>
      </c>
      <c r="E14" s="373">
        <v>18993256.869999997</v>
      </c>
      <c r="F14" s="373">
        <v>21582202.599999998</v>
      </c>
    </row>
    <row r="15" spans="1:6" x14ac:dyDescent="0.2">
      <c r="A15" s="5">
        <v>5</v>
      </c>
      <c r="B15" s="178" t="s">
        <v>98</v>
      </c>
      <c r="C15" s="182">
        <f>SUM(C11:C14)</f>
        <v>2048603621.9599998</v>
      </c>
      <c r="D15" s="182">
        <f>SUM(D11:D14)</f>
        <v>692687352.34000003</v>
      </c>
      <c r="E15" s="182">
        <f>SUM(E11:E14)</f>
        <v>672600203.68000007</v>
      </c>
      <c r="F15" s="182">
        <f>SUM(F11:F14)</f>
        <v>683316065.93999994</v>
      </c>
    </row>
    <row r="16" spans="1:6" x14ac:dyDescent="0.2">
      <c r="A16" s="5"/>
      <c r="B16" s="178"/>
      <c r="C16" s="120"/>
      <c r="D16" s="184"/>
      <c r="E16" s="184"/>
      <c r="F16" s="184"/>
    </row>
    <row r="17" spans="1:6" x14ac:dyDescent="0.2">
      <c r="A17" s="5"/>
      <c r="B17" s="178" t="s">
        <v>104</v>
      </c>
      <c r="C17" s="120"/>
      <c r="D17" s="120"/>
      <c r="E17" s="120"/>
      <c r="F17" s="120"/>
    </row>
    <row r="18" spans="1:6" x14ac:dyDescent="0.2">
      <c r="A18" s="5">
        <v>6</v>
      </c>
      <c r="B18" s="178" t="s">
        <v>81</v>
      </c>
      <c r="C18" s="182">
        <f>SUM(D18:F18)</f>
        <v>1745733.6999999997</v>
      </c>
      <c r="D18" s="182">
        <v>535511.22</v>
      </c>
      <c r="E18" s="182">
        <v>478158.56999999989</v>
      </c>
      <c r="F18" s="182">
        <v>732063.91</v>
      </c>
    </row>
    <row r="19" spans="1:6" x14ac:dyDescent="0.2">
      <c r="A19" s="5">
        <v>7</v>
      </c>
      <c r="B19" s="178" t="s">
        <v>86</v>
      </c>
      <c r="C19" s="182">
        <f>SUM(D19:F19)</f>
        <v>338788.4</v>
      </c>
      <c r="D19" s="182">
        <v>109012.04</v>
      </c>
      <c r="E19" s="182">
        <v>130972.45000000006</v>
      </c>
      <c r="F19" s="182">
        <v>98803.91</v>
      </c>
    </row>
    <row r="20" spans="1:6" x14ac:dyDescent="0.2">
      <c r="A20" s="5">
        <v>8</v>
      </c>
      <c r="B20" s="178" t="s">
        <v>90</v>
      </c>
      <c r="C20" s="182">
        <f>SUM(D20:F20)</f>
        <v>43857.39</v>
      </c>
      <c r="D20" s="182">
        <v>15963.660000000002</v>
      </c>
      <c r="E20" s="182">
        <v>1301.9499999999978</v>
      </c>
      <c r="F20" s="182">
        <v>26591.780000000002</v>
      </c>
    </row>
    <row r="21" spans="1:6" x14ac:dyDescent="0.2">
      <c r="A21" s="5">
        <v>9</v>
      </c>
      <c r="B21" s="178" t="s">
        <v>95</v>
      </c>
      <c r="C21" s="185">
        <f>SUM(D21:F21)</f>
        <v>20000</v>
      </c>
      <c r="D21" s="185">
        <v>20000</v>
      </c>
      <c r="E21" s="185">
        <v>0</v>
      </c>
      <c r="F21" s="185">
        <v>0</v>
      </c>
    </row>
    <row r="22" spans="1:6" x14ac:dyDescent="0.2">
      <c r="A22" s="5">
        <v>10</v>
      </c>
      <c r="B22" s="178" t="s">
        <v>98</v>
      </c>
      <c r="C22" s="182">
        <f>SUM(C18:C21)</f>
        <v>2148379.4899999998</v>
      </c>
      <c r="D22" s="182">
        <f>SUM(D18:D21)</f>
        <v>680486.92</v>
      </c>
      <c r="E22" s="182">
        <f>SUM(E18:E21)</f>
        <v>610432.96999999986</v>
      </c>
      <c r="F22" s="182">
        <f>SUM(F18:F21)</f>
        <v>857459.60000000009</v>
      </c>
    </row>
    <row r="23" spans="1:6" x14ac:dyDescent="0.2">
      <c r="A23" s="5"/>
      <c r="B23" s="178"/>
      <c r="C23" s="179"/>
      <c r="D23" s="179"/>
      <c r="E23" s="179"/>
      <c r="F23" s="179"/>
    </row>
    <row r="24" spans="1:6" x14ac:dyDescent="0.2">
      <c r="A24" s="5"/>
      <c r="B24" s="178" t="s">
        <v>122</v>
      </c>
      <c r="C24" s="179"/>
      <c r="D24" s="179"/>
      <c r="E24" s="179"/>
      <c r="F24" s="179"/>
    </row>
    <row r="25" spans="1:6" x14ac:dyDescent="0.2">
      <c r="A25" s="5">
        <v>11</v>
      </c>
      <c r="B25" s="178" t="s">
        <v>81</v>
      </c>
      <c r="C25" s="186">
        <f t="shared" ref="C25:F29" si="0">C18/C11</f>
        <v>1.3527408239224874E-3</v>
      </c>
      <c r="D25" s="186">
        <f t="shared" si="0"/>
        <v>1.2178724443172308E-3</v>
      </c>
      <c r="E25" s="186">
        <f t="shared" si="0"/>
        <v>1.1310203171058608E-3</v>
      </c>
      <c r="F25" s="186">
        <f t="shared" si="0"/>
        <v>1.7102772957295657E-3</v>
      </c>
    </row>
    <row r="26" spans="1:6" x14ac:dyDescent="0.2">
      <c r="A26" s="5">
        <v>12</v>
      </c>
      <c r="B26" s="178" t="s">
        <v>86</v>
      </c>
      <c r="C26" s="186">
        <f t="shared" si="0"/>
        <v>5.3219891552433408E-4</v>
      </c>
      <c r="D26" s="186">
        <f t="shared" si="0"/>
        <v>5.0710823838012405E-4</v>
      </c>
      <c r="E26" s="186">
        <f t="shared" si="0"/>
        <v>6.2360980577234415E-4</v>
      </c>
      <c r="F26" s="186">
        <f t="shared" si="0"/>
        <v>4.6695658464529347E-4</v>
      </c>
    </row>
    <row r="27" spans="1:6" x14ac:dyDescent="0.2">
      <c r="A27" s="5">
        <v>13</v>
      </c>
      <c r="B27" s="178" t="s">
        <v>90</v>
      </c>
      <c r="C27" s="187">
        <f t="shared" si="0"/>
        <v>6.8660112754683161E-4</v>
      </c>
      <c r="D27" s="187">
        <f t="shared" si="0"/>
        <v>7.6180145844154481E-4</v>
      </c>
      <c r="E27" s="187">
        <f t="shared" si="0"/>
        <v>6.2544361123572956E-5</v>
      </c>
      <c r="F27" s="187">
        <f t="shared" si="0"/>
        <v>1.2030023455600186E-3</v>
      </c>
    </row>
    <row r="28" spans="1:6" x14ac:dyDescent="0.2">
      <c r="A28" s="5">
        <v>14</v>
      </c>
      <c r="B28" s="178" t="s">
        <v>95</v>
      </c>
      <c r="C28" s="188">
        <f t="shared" si="0"/>
        <v>3.4704604110614919E-4</v>
      </c>
      <c r="D28" s="188">
        <f t="shared" si="0"/>
        <v>1.1727604089127048E-3</v>
      </c>
      <c r="E28" s="188">
        <f t="shared" si="0"/>
        <v>0</v>
      </c>
      <c r="F28" s="188">
        <f t="shared" si="0"/>
        <v>0</v>
      </c>
    </row>
    <row r="29" spans="1:6" x14ac:dyDescent="0.2">
      <c r="A29" s="5">
        <v>15</v>
      </c>
      <c r="B29" s="178" t="s">
        <v>582</v>
      </c>
      <c r="C29" s="186">
        <f t="shared" si="0"/>
        <v>1.0487043305842344E-3</v>
      </c>
      <c r="D29" s="186">
        <f t="shared" si="0"/>
        <v>9.8238681232047176E-4</v>
      </c>
      <c r="E29" s="186">
        <f t="shared" si="0"/>
        <v>9.075717887983614E-4</v>
      </c>
      <c r="F29" s="186">
        <f t="shared" si="0"/>
        <v>1.2548506360968413E-3</v>
      </c>
    </row>
    <row r="30" spans="1:6" x14ac:dyDescent="0.2">
      <c r="A30" s="5"/>
      <c r="B30" s="178"/>
      <c r="C30" s="186"/>
      <c r="D30" s="186"/>
      <c r="E30" s="186"/>
      <c r="F30" s="186"/>
    </row>
    <row r="31" spans="1:6" x14ac:dyDescent="0.2">
      <c r="A31" s="5"/>
      <c r="B31" s="178" t="s">
        <v>135</v>
      </c>
      <c r="C31" s="120"/>
      <c r="D31" s="179"/>
      <c r="E31" s="179"/>
      <c r="F31" s="179"/>
    </row>
    <row r="32" spans="1:6" x14ac:dyDescent="0.2">
      <c r="A32" s="5">
        <v>16</v>
      </c>
      <c r="B32" s="178" t="s">
        <v>81</v>
      </c>
      <c r="C32" s="120">
        <f>C25*D11</f>
        <v>594814.25361311727</v>
      </c>
      <c r="D32" s="179"/>
      <c r="E32" s="179"/>
      <c r="F32" s="179"/>
    </row>
    <row r="33" spans="1:6" x14ac:dyDescent="0.2">
      <c r="A33" s="5">
        <v>17</v>
      </c>
      <c r="B33" s="178" t="s">
        <v>86</v>
      </c>
      <c r="C33" s="119">
        <f>C26*D12</f>
        <v>114405.73249690917</v>
      </c>
      <c r="D33" s="179"/>
      <c r="E33" s="179"/>
      <c r="F33" s="179"/>
    </row>
    <row r="34" spans="1:6" x14ac:dyDescent="0.2">
      <c r="A34" s="5">
        <v>18</v>
      </c>
      <c r="B34" s="178" t="s">
        <v>90</v>
      </c>
      <c r="C34" s="119">
        <f>C27*D13</f>
        <v>14387.826164309316</v>
      </c>
      <c r="D34" s="179"/>
      <c r="E34" s="179"/>
      <c r="F34" s="179"/>
    </row>
    <row r="35" spans="1:6" x14ac:dyDescent="0.2">
      <c r="A35" s="5">
        <v>19</v>
      </c>
      <c r="B35" s="178" t="s">
        <v>95</v>
      </c>
      <c r="C35" s="111">
        <f>C28*D14</f>
        <v>5918.4474248734941</v>
      </c>
      <c r="D35" s="179"/>
      <c r="E35" s="120"/>
      <c r="F35" s="179"/>
    </row>
    <row r="36" spans="1:6" x14ac:dyDescent="0.2">
      <c r="A36" s="5">
        <v>20</v>
      </c>
      <c r="B36" s="178" t="s">
        <v>98</v>
      </c>
      <c r="C36" s="120">
        <f>SUM(C32:C35)</f>
        <v>729526.25969920924</v>
      </c>
      <c r="D36" s="120"/>
      <c r="E36" s="179"/>
      <c r="F36" s="179"/>
    </row>
    <row r="37" spans="1:6" x14ac:dyDescent="0.2">
      <c r="A37" s="5"/>
      <c r="B37" s="178"/>
      <c r="C37" s="179"/>
      <c r="D37" s="179"/>
      <c r="E37" s="179"/>
      <c r="F37" s="179"/>
    </row>
    <row r="38" spans="1:6" x14ac:dyDescent="0.2">
      <c r="A38" s="5">
        <v>21</v>
      </c>
      <c r="B38" s="178" t="s">
        <v>421</v>
      </c>
      <c r="C38" s="294">
        <f>'KTW-3 p4 - Factors'!D8</f>
        <v>0.11529999999999996</v>
      </c>
      <c r="D38" s="189"/>
      <c r="E38" s="189"/>
      <c r="F38" s="179"/>
    </row>
    <row r="39" spans="1:6" x14ac:dyDescent="0.2">
      <c r="A39" s="5"/>
      <c r="B39" s="178"/>
      <c r="C39" s="120"/>
      <c r="D39" s="120"/>
      <c r="E39" s="179"/>
      <c r="F39" s="179"/>
    </row>
    <row r="40" spans="1:6" x14ac:dyDescent="0.2">
      <c r="A40" s="5">
        <v>22</v>
      </c>
      <c r="B40" s="178" t="s">
        <v>420</v>
      </c>
      <c r="C40" s="120">
        <f>C36*C38</f>
        <v>84114.377743318793</v>
      </c>
      <c r="D40" s="120"/>
      <c r="E40" s="179"/>
      <c r="F40" s="179"/>
    </row>
    <row r="41" spans="1:6" x14ac:dyDescent="0.2">
      <c r="A41" s="5"/>
      <c r="B41" s="178"/>
      <c r="C41" s="120"/>
      <c r="D41" s="120"/>
      <c r="E41" s="179"/>
      <c r="F41" s="179"/>
    </row>
    <row r="42" spans="1:6" x14ac:dyDescent="0.2">
      <c r="A42" s="5">
        <v>23</v>
      </c>
      <c r="B42" s="178" t="s">
        <v>151</v>
      </c>
      <c r="C42" s="112">
        <f>+'KTW-2 - Rev Req'!C20</f>
        <v>110387.16508799998</v>
      </c>
      <c r="D42" s="120"/>
      <c r="E42" s="179"/>
      <c r="F42" s="179"/>
    </row>
    <row r="43" spans="1:6" x14ac:dyDescent="0.2">
      <c r="A43" s="5"/>
      <c r="B43" s="178"/>
      <c r="C43" s="179"/>
      <c r="D43" s="120"/>
      <c r="E43" s="179"/>
      <c r="F43" s="179"/>
    </row>
    <row r="44" spans="1:6" ht="15.75" thickBot="1" x14ac:dyDescent="0.25">
      <c r="A44" s="5">
        <v>24</v>
      </c>
      <c r="B44" s="178" t="s">
        <v>155</v>
      </c>
      <c r="C44" s="190">
        <f>C40-C42</f>
        <v>-26272.787344681186</v>
      </c>
      <c r="D44" s="120"/>
      <c r="E44" s="179"/>
      <c r="F44" s="179"/>
    </row>
    <row r="45" spans="1:6" ht="15.75" thickTop="1" x14ac:dyDescent="0.2">
      <c r="A45" s="178"/>
      <c r="B45" s="178"/>
      <c r="C45" s="120"/>
      <c r="D45" s="179"/>
      <c r="E45" s="179"/>
      <c r="F45" s="179"/>
    </row>
    <row r="46" spans="1:6" x14ac:dyDescent="0.2">
      <c r="A46" s="178"/>
      <c r="B46" s="178"/>
      <c r="C46" s="120"/>
      <c r="D46" s="120"/>
      <c r="E46" s="179"/>
      <c r="F46" s="179"/>
    </row>
    <row r="47" spans="1:6" x14ac:dyDescent="0.2">
      <c r="A47" s="178"/>
      <c r="B47" s="178" t="s">
        <v>580</v>
      </c>
      <c r="C47" s="120"/>
      <c r="D47" s="120"/>
      <c r="E47" s="179"/>
      <c r="F47" s="179"/>
    </row>
    <row r="48" spans="1:6" x14ac:dyDescent="0.2">
      <c r="A48" s="178"/>
      <c r="B48" s="178" t="s">
        <v>581</v>
      </c>
      <c r="C48" s="186">
        <f>+C29</f>
        <v>1.0487043305842344E-3</v>
      </c>
      <c r="D48" s="179" t="s">
        <v>159</v>
      </c>
      <c r="E48" s="179"/>
      <c r="F48" s="179"/>
    </row>
  </sheetData>
  <customSheetViews>
    <customSheetView guid="{A7BD13BF-7E57-44D7-9B02-43E2FA430390}" showPageBreaks="1" fitToPage="1" printArea="1" topLeftCell="A34">
      <selection activeCell="B50" sqref="B50"/>
      <pageMargins left="0.5" right="0.5" top="0.5" bottom="0.5" header="0.25" footer="0.25"/>
      <printOptions horizontalCentered="1"/>
      <pageSetup scale="77" orientation="landscape" r:id="rId1"/>
      <headerFooter alignWithMargins="0"/>
    </customSheetView>
    <customSheetView guid="{C29552AC-6B79-447F-B962-713ED43BDF1A}" showPageBreaks="1" fitToPage="1" printArea="1">
      <selection sqref="A1:A3"/>
      <pageMargins left="0.5" right="0.5" top="0.5" bottom="0.5" header="0.25" footer="0.25"/>
      <printOptions horizontalCentered="1"/>
      <pageSetup scale="77" orientation="landscape" r:id="rId2"/>
      <headerFooter alignWithMargins="0"/>
    </customSheetView>
    <customSheetView guid="{6ED201AA-AB2E-4FE7-B06B-B07932512C4D}" showPageBreaks="1" fitToPage="1" printArea="1">
      <selection sqref="A1:A3"/>
      <pageMargins left="0.5" right="0.5" top="0.5" bottom="0.5" header="0.25" footer="0.25"/>
      <printOptions horizontalCentered="1"/>
      <pageSetup scale="77" orientation="landscape" r:id="rId3"/>
      <headerFooter alignWithMargins="0"/>
    </customSheetView>
    <customSheetView guid="{D711E10B-9441-4991-A2CB-ED400E35790D}" fitToPage="1" topLeftCell="A34">
      <selection activeCell="B50" sqref="B50"/>
      <pageMargins left="0.5" right="0.5" top="0.5" bottom="0.5" header="0.25" footer="0.25"/>
      <printOptions horizontalCentered="1"/>
      <pageSetup scale="77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81" orientation="landscape" r:id="rId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theme="4" tint="0.59999389629810485"/>
    <pageSetUpPr fitToPage="1"/>
  </sheetPr>
  <dimension ref="A1:E15"/>
  <sheetViews>
    <sheetView zoomScaleNormal="100" workbookViewId="0">
      <selection activeCell="D14" sqref="D14"/>
    </sheetView>
  </sheetViews>
  <sheetFormatPr defaultColWidth="9.140625" defaultRowHeight="15" x14ac:dyDescent="0.25"/>
  <cols>
    <col min="1" max="1" width="8" style="191" customWidth="1"/>
    <col min="2" max="2" width="32" style="191" bestFit="1" customWidth="1"/>
    <col min="3" max="3" width="17.140625" style="191" customWidth="1"/>
    <col min="4" max="4" width="20.140625" style="191" customWidth="1"/>
    <col min="5" max="5" width="14.7109375" style="192" customWidth="1"/>
    <col min="6" max="16384" width="9.140625" style="8"/>
  </cols>
  <sheetData>
    <row r="1" spans="1:4" x14ac:dyDescent="0.25">
      <c r="A1" s="178" t="s">
        <v>0</v>
      </c>
      <c r="D1" s="384" t="s">
        <v>593</v>
      </c>
    </row>
    <row r="2" spans="1:4" x14ac:dyDescent="0.25">
      <c r="A2" s="178" t="str">
        <f>'KTW-4,5,8 p1 - Adjust Issues'!A3</f>
        <v>Test Year Based on Twelve Months Ended September 30, 2020</v>
      </c>
      <c r="D2" s="384" t="s">
        <v>598</v>
      </c>
    </row>
    <row r="3" spans="1:4" x14ac:dyDescent="0.25">
      <c r="A3" s="178" t="s">
        <v>531</v>
      </c>
    </row>
    <row r="4" spans="1:4" x14ac:dyDescent="0.25">
      <c r="A4" s="278"/>
    </row>
    <row r="8" spans="1:4" x14ac:dyDescent="0.25">
      <c r="A8" s="242">
        <v>1</v>
      </c>
      <c r="B8" s="191" t="s">
        <v>532</v>
      </c>
      <c r="D8" s="312">
        <v>175419634.73458335</v>
      </c>
    </row>
    <row r="9" spans="1:4" x14ac:dyDescent="0.25">
      <c r="A9" s="242">
        <f t="shared" ref="A9:A14" si="0">A8+1</f>
        <v>2</v>
      </c>
      <c r="B9" s="191" t="s">
        <v>533</v>
      </c>
      <c r="D9" s="313">
        <v>-140739150.3520833</v>
      </c>
    </row>
    <row r="10" spans="1:4" x14ac:dyDescent="0.25">
      <c r="A10" s="242">
        <f t="shared" si="0"/>
        <v>3</v>
      </c>
      <c r="B10" s="191" t="s">
        <v>534</v>
      </c>
      <c r="D10" s="309">
        <f>SUM(D8:D9)</f>
        <v>34680484.382500052</v>
      </c>
    </row>
    <row r="11" spans="1:4" x14ac:dyDescent="0.25">
      <c r="A11" s="242">
        <f t="shared" si="0"/>
        <v>4</v>
      </c>
    </row>
    <row r="12" spans="1:4" x14ac:dyDescent="0.25">
      <c r="A12" s="242">
        <f t="shared" si="0"/>
        <v>5</v>
      </c>
      <c r="B12" s="191" t="s">
        <v>535</v>
      </c>
      <c r="D12" s="308">
        <v>0.10168462939815108</v>
      </c>
    </row>
    <row r="13" spans="1:4" x14ac:dyDescent="0.25">
      <c r="A13" s="242">
        <f t="shared" si="0"/>
        <v>6</v>
      </c>
    </row>
    <row r="14" spans="1:4" ht="15.75" thickBot="1" x14ac:dyDescent="0.3">
      <c r="A14" s="242">
        <f t="shared" si="0"/>
        <v>7</v>
      </c>
      <c r="B14" s="191" t="s">
        <v>536</v>
      </c>
      <c r="D14" s="311">
        <f>D10*D12</f>
        <v>3526472.2017828841</v>
      </c>
    </row>
    <row r="15" spans="1:4" ht="15.75" thickTop="1" x14ac:dyDescent="0.25">
      <c r="A15" s="307"/>
      <c r="B15" s="306"/>
      <c r="C15" s="306"/>
      <c r="D15" s="310"/>
    </row>
  </sheetData>
  <customSheetViews>
    <customSheetView guid="{A7BD13BF-7E57-44D7-9B02-43E2FA430390}" fitToPage="1">
      <selection activeCell="G22" sqref="G22"/>
      <pageMargins left="0.5" right="0.5" top="0.5" bottom="0.5" header="0.25" footer="0.25"/>
      <printOptions horizontalCentered="1"/>
      <pageSetup scale="83" orientation="portrait" r:id="rId1"/>
      <headerFooter alignWithMargins="0"/>
    </customSheetView>
    <customSheetView guid="{C29552AC-6B79-447F-B962-713ED43BDF1A}" fitToPage="1">
      <selection activeCell="J29" sqref="J29"/>
      <pageMargins left="0.5" right="0.5" top="0.5" bottom="0.5" header="0.25" footer="0.25"/>
      <printOptions horizontalCentered="1"/>
      <pageSetup orientation="portrait" r:id="rId2"/>
      <headerFooter alignWithMargins="0"/>
    </customSheetView>
    <customSheetView guid="{6ED201AA-AB2E-4FE7-B06B-B07932512C4D}" fitToPage="1">
      <selection activeCell="G15" sqref="G15"/>
      <pageMargins left="0.5" right="0.5" top="0.5" bottom="0.5" header="0.25" footer="0.25"/>
      <printOptions horizontalCentered="1"/>
      <pageSetup orientation="portrait" r:id="rId3"/>
      <headerFooter alignWithMargins="0"/>
    </customSheetView>
    <customSheetView guid="{D711E10B-9441-4991-A2CB-ED400E35790D}" fitToPage="1">
      <selection activeCell="A20" sqref="A20"/>
      <pageMargins left="0.5" right="0.5" top="0.5" bottom="0.5" header="0.25" footer="0.25"/>
      <printOptions horizontalCentered="1"/>
      <pageSetup scale="83" orientation="portrait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83" orientation="portrait" r:id="rId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theme="4" tint="0.59999389629810485"/>
    <pageSetUpPr fitToPage="1"/>
  </sheetPr>
  <dimension ref="A1:G28"/>
  <sheetViews>
    <sheetView zoomScale="90" zoomScaleNormal="90" workbookViewId="0">
      <selection activeCell="C20" sqref="C20"/>
    </sheetView>
  </sheetViews>
  <sheetFormatPr defaultColWidth="9.140625" defaultRowHeight="15" x14ac:dyDescent="0.2"/>
  <cols>
    <col min="1" max="1" width="4.7109375" style="1" customWidth="1"/>
    <col min="2" max="2" width="51.140625" style="1" customWidth="1"/>
    <col min="3" max="5" width="13.7109375" style="8" customWidth="1"/>
    <col min="6" max="16384" width="9.140625" style="8"/>
  </cols>
  <sheetData>
    <row r="1" spans="1:7" x14ac:dyDescent="0.2">
      <c r="A1" s="1" t="s">
        <v>0</v>
      </c>
      <c r="E1" s="384" t="s">
        <v>593</v>
      </c>
    </row>
    <row r="2" spans="1:7" x14ac:dyDescent="0.2">
      <c r="A2" s="1" t="str">
        <f>+'KTW-3 p5 - Taxes'!A2</f>
        <v>Test Year Based on Twelve Months Ended September 30, 2020</v>
      </c>
      <c r="E2" s="384" t="s">
        <v>603</v>
      </c>
    </row>
    <row r="3" spans="1:7" x14ac:dyDescent="0.2">
      <c r="A3" s="1" t="s">
        <v>287</v>
      </c>
    </row>
    <row r="5" spans="1:7" x14ac:dyDescent="0.2">
      <c r="C5" s="146" t="s">
        <v>8</v>
      </c>
      <c r="D5" s="146"/>
      <c r="E5" s="146"/>
    </row>
    <row r="6" spans="1:7" x14ac:dyDescent="0.2">
      <c r="A6" s="5" t="s">
        <v>15</v>
      </c>
      <c r="C6" s="146" t="s">
        <v>282</v>
      </c>
      <c r="D6" s="146" t="s">
        <v>29</v>
      </c>
      <c r="E6" s="146" t="s">
        <v>30</v>
      </c>
    </row>
    <row r="7" spans="1:7" x14ac:dyDescent="0.2">
      <c r="A7" s="7" t="s">
        <v>31</v>
      </c>
      <c r="B7" s="7" t="s">
        <v>283</v>
      </c>
      <c r="C7" s="7" t="s">
        <v>50</v>
      </c>
      <c r="D7" s="7" t="s">
        <v>51</v>
      </c>
      <c r="E7" s="7" t="s">
        <v>50</v>
      </c>
    </row>
    <row r="8" spans="1:7" x14ac:dyDescent="0.2">
      <c r="A8" s="5"/>
      <c r="C8" s="5" t="s">
        <v>55</v>
      </c>
      <c r="D8" s="5" t="s">
        <v>56</v>
      </c>
      <c r="E8" s="5" t="s">
        <v>57</v>
      </c>
    </row>
    <row r="9" spans="1:7" x14ac:dyDescent="0.2">
      <c r="A9" s="5"/>
      <c r="B9" s="146"/>
    </row>
    <row r="10" spans="1:7" ht="15.75" thickBot="1" x14ac:dyDescent="0.25">
      <c r="A10" s="5">
        <v>1</v>
      </c>
      <c r="B10" s="1" t="s">
        <v>453</v>
      </c>
      <c r="C10" s="194">
        <v>227068.88832259961</v>
      </c>
      <c r="D10" s="371">
        <v>1</v>
      </c>
      <c r="E10" s="194">
        <f>-C10*D10</f>
        <v>-227068.88832259961</v>
      </c>
      <c r="G10" s="58"/>
    </row>
    <row r="11" spans="1:7" ht="15.75" thickTop="1" x14ac:dyDescent="0.2">
      <c r="A11" s="5"/>
      <c r="B11" s="296"/>
      <c r="C11" s="196"/>
      <c r="D11" s="195"/>
      <c r="E11" s="196"/>
    </row>
    <row r="12" spans="1:7" x14ac:dyDescent="0.2">
      <c r="A12" s="5"/>
      <c r="E12" s="52"/>
    </row>
    <row r="13" spans="1:7" x14ac:dyDescent="0.2">
      <c r="A13" s="5"/>
      <c r="E13" s="52"/>
    </row>
    <row r="14" spans="1:7" x14ac:dyDescent="0.2">
      <c r="C14" s="5"/>
      <c r="D14" s="146" t="s">
        <v>48</v>
      </c>
      <c r="E14" s="146" t="s">
        <v>30</v>
      </c>
    </row>
    <row r="15" spans="1:7" x14ac:dyDescent="0.2">
      <c r="C15" s="146" t="s">
        <v>7</v>
      </c>
      <c r="D15" s="146" t="s">
        <v>279</v>
      </c>
      <c r="E15" s="146" t="s">
        <v>8</v>
      </c>
    </row>
    <row r="16" spans="1:7" x14ac:dyDescent="0.2">
      <c r="A16" s="5"/>
      <c r="C16" s="146" t="s">
        <v>28</v>
      </c>
      <c r="D16" s="146" t="s">
        <v>280</v>
      </c>
      <c r="E16" s="146" t="s">
        <v>282</v>
      </c>
    </row>
    <row r="17" spans="1:7" x14ac:dyDescent="0.2">
      <c r="A17" s="5"/>
      <c r="B17" s="7" t="s">
        <v>378</v>
      </c>
      <c r="C17" s="7" t="s">
        <v>50</v>
      </c>
      <c r="D17" s="7" t="s">
        <v>281</v>
      </c>
      <c r="E17" s="7" t="s">
        <v>50</v>
      </c>
    </row>
    <row r="18" spans="1:7" x14ac:dyDescent="0.2">
      <c r="A18" s="5"/>
      <c r="B18" s="5"/>
      <c r="C18" s="5" t="s">
        <v>55</v>
      </c>
      <c r="D18" s="5" t="s">
        <v>56</v>
      </c>
      <c r="E18" s="5" t="s">
        <v>57</v>
      </c>
    </row>
    <row r="19" spans="1:7" x14ac:dyDescent="0.2">
      <c r="A19" s="5"/>
      <c r="B19" s="8"/>
      <c r="C19" s="5"/>
      <c r="D19" s="1"/>
      <c r="E19" s="1"/>
    </row>
    <row r="20" spans="1:7" ht="15.75" thickBot="1" x14ac:dyDescent="0.25">
      <c r="A20" s="5">
        <v>2</v>
      </c>
      <c r="B20" s="1" t="s">
        <v>486</v>
      </c>
      <c r="C20" s="194">
        <v>490926.62</v>
      </c>
      <c r="D20" s="372">
        <f>'KTW-3 p4 - Factors'!D9</f>
        <v>0.11639999999999995</v>
      </c>
      <c r="E20" s="194">
        <f>-+C20*D20</f>
        <v>-57143.858567999974</v>
      </c>
      <c r="G20" s="58"/>
    </row>
    <row r="21" spans="1:7" ht="15.75" thickTop="1" x14ac:dyDescent="0.2">
      <c r="A21" s="5"/>
      <c r="B21" s="296"/>
      <c r="E21" s="27"/>
    </row>
    <row r="22" spans="1:7" x14ac:dyDescent="0.2">
      <c r="A22" s="5"/>
      <c r="E22" s="27"/>
    </row>
    <row r="25" spans="1:7" x14ac:dyDescent="0.2">
      <c r="A25" s="8"/>
      <c r="B25" s="7" t="s">
        <v>467</v>
      </c>
    </row>
    <row r="26" spans="1:7" x14ac:dyDescent="0.2">
      <c r="A26" s="8"/>
      <c r="B26" s="8"/>
    </row>
    <row r="27" spans="1:7" ht="15.75" thickBot="1" x14ac:dyDescent="0.25">
      <c r="A27" s="5">
        <v>3</v>
      </c>
      <c r="B27" s="1" t="s">
        <v>454</v>
      </c>
      <c r="E27" s="197">
        <f>+E10+E20</f>
        <v>-284212.74689059961</v>
      </c>
    </row>
    <row r="28" spans="1:7" ht="15.75" thickTop="1" x14ac:dyDescent="0.2"/>
  </sheetData>
  <customSheetViews>
    <customSheetView guid="{A7BD13BF-7E57-44D7-9B02-43E2FA430390}" fitToPage="1" topLeftCell="B1">
      <selection activeCell="H19" sqref="H19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fitToPage="1">
      <selection activeCell="I22" sqref="I22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fitToPage="1">
      <selection activeCell="I22" sqref="I22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 topLeftCell="B1">
      <selection activeCell="H19" sqref="H19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tabColor theme="4" tint="0.59999389629810485"/>
    <pageSetUpPr fitToPage="1"/>
  </sheetPr>
  <dimension ref="A1:G36"/>
  <sheetViews>
    <sheetView workbookViewId="0">
      <selection activeCell="H13" sqref="H13"/>
    </sheetView>
  </sheetViews>
  <sheetFormatPr defaultColWidth="9.140625" defaultRowHeight="15" x14ac:dyDescent="0.2"/>
  <cols>
    <col min="1" max="1" width="4.7109375" style="1" customWidth="1"/>
    <col min="2" max="2" width="40.7109375" style="1" customWidth="1"/>
    <col min="3" max="3" width="13.5703125" style="8" customWidth="1"/>
    <col min="4" max="5" width="14.7109375" style="8" customWidth="1"/>
    <col min="6" max="16384" width="9.140625" style="8"/>
  </cols>
  <sheetData>
    <row r="1" spans="1:7" x14ac:dyDescent="0.2">
      <c r="A1" s="1" t="str">
        <f>'KTW-4 p7 - Uncollectible'!A1</f>
        <v>NW Natural</v>
      </c>
      <c r="D1" s="1"/>
      <c r="E1" s="384" t="s">
        <v>593</v>
      </c>
    </row>
    <row r="2" spans="1:7" x14ac:dyDescent="0.2">
      <c r="A2" s="1" t="str">
        <f>'KTW-4 p7 - Uncollectible'!A2</f>
        <v>Test Year Based on Twelve Months Ended September 30, 2020</v>
      </c>
      <c r="D2" s="1"/>
      <c r="E2" s="384" t="s">
        <v>609</v>
      </c>
    </row>
    <row r="3" spans="1:7" x14ac:dyDescent="0.2">
      <c r="A3" s="1" t="s">
        <v>6</v>
      </c>
      <c r="D3" s="1"/>
      <c r="E3" s="1"/>
    </row>
    <row r="4" spans="1:7" x14ac:dyDescent="0.2">
      <c r="D4" s="1"/>
      <c r="E4" s="1"/>
    </row>
    <row r="5" spans="1:7" x14ac:dyDescent="0.2">
      <c r="D5" s="1"/>
      <c r="E5" s="1"/>
    </row>
    <row r="6" spans="1:7" x14ac:dyDescent="0.2">
      <c r="A6" s="5" t="s">
        <v>15</v>
      </c>
      <c r="D6" s="1"/>
      <c r="E6" s="1"/>
    </row>
    <row r="7" spans="1:7" x14ac:dyDescent="0.2">
      <c r="A7" s="7" t="s">
        <v>31</v>
      </c>
      <c r="D7" s="7" t="s">
        <v>53</v>
      </c>
      <c r="E7" s="7" t="s">
        <v>54</v>
      </c>
    </row>
    <row r="8" spans="1:7" x14ac:dyDescent="0.2">
      <c r="A8" s="5"/>
      <c r="D8" s="5" t="s">
        <v>55</v>
      </c>
      <c r="E8" s="5" t="s">
        <v>56</v>
      </c>
    </row>
    <row r="9" spans="1:7" x14ac:dyDescent="0.2">
      <c r="A9" s="5"/>
    </row>
    <row r="10" spans="1:7" x14ac:dyDescent="0.2">
      <c r="A10" s="5"/>
    </row>
    <row r="11" spans="1:7" x14ac:dyDescent="0.2">
      <c r="A11" s="5">
        <v>1</v>
      </c>
      <c r="B11" s="1" t="s">
        <v>82</v>
      </c>
      <c r="D11" s="52">
        <v>123746.41</v>
      </c>
      <c r="E11" s="52">
        <v>79360.45</v>
      </c>
      <c r="G11" s="29"/>
    </row>
    <row r="12" spans="1:7" x14ac:dyDescent="0.2">
      <c r="A12" s="5"/>
      <c r="G12" s="29"/>
    </row>
    <row r="13" spans="1:7" x14ac:dyDescent="0.2">
      <c r="A13" s="5"/>
      <c r="B13" s="1" t="s">
        <v>91</v>
      </c>
      <c r="G13" s="29"/>
    </row>
    <row r="14" spans="1:7" x14ac:dyDescent="0.2">
      <c r="A14" s="5">
        <v>2</v>
      </c>
      <c r="B14" s="1" t="s">
        <v>444</v>
      </c>
      <c r="D14" s="27">
        <v>148746.41</v>
      </c>
      <c r="E14" s="27">
        <v>66360.450000000012</v>
      </c>
      <c r="G14" s="29"/>
    </row>
    <row r="15" spans="1:7" x14ac:dyDescent="0.2">
      <c r="A15" s="5">
        <v>3</v>
      </c>
      <c r="B15" s="1" t="s">
        <v>446</v>
      </c>
      <c r="D15" s="47">
        <f>C32</f>
        <v>12101.416666666666</v>
      </c>
      <c r="E15" s="47">
        <v>0</v>
      </c>
    </row>
    <row r="16" spans="1:7" x14ac:dyDescent="0.2">
      <c r="A16" s="5">
        <v>4</v>
      </c>
      <c r="B16" s="1" t="s">
        <v>102</v>
      </c>
      <c r="D16" s="27">
        <f>D14+D15</f>
        <v>160847.82666666666</v>
      </c>
      <c r="E16" s="27">
        <f>E14+E15</f>
        <v>66360.450000000012</v>
      </c>
    </row>
    <row r="17" spans="1:7" x14ac:dyDescent="0.2">
      <c r="A17" s="5"/>
      <c r="D17" s="27"/>
      <c r="E17" s="27"/>
    </row>
    <row r="18" spans="1:7" x14ac:dyDescent="0.2">
      <c r="A18" s="5">
        <v>5</v>
      </c>
      <c r="B18" s="1" t="s">
        <v>108</v>
      </c>
      <c r="D18" s="27">
        <f>D16-D11</f>
        <v>37101.416666666657</v>
      </c>
      <c r="E18" s="27">
        <f>E16-E11</f>
        <v>-12999.999999999985</v>
      </c>
    </row>
    <row r="19" spans="1:7" x14ac:dyDescent="0.2">
      <c r="A19" s="5"/>
    </row>
    <row r="20" spans="1:7" x14ac:dyDescent="0.2">
      <c r="A20" s="5">
        <v>6</v>
      </c>
      <c r="B20" s="1" t="s">
        <v>113</v>
      </c>
      <c r="C20" s="68"/>
    </row>
    <row r="21" spans="1:7" x14ac:dyDescent="0.2">
      <c r="A21" s="5"/>
      <c r="B21" s="1" t="s">
        <v>117</v>
      </c>
      <c r="D21" s="53">
        <f>+'KTW-3 p4 - Factors'!D13</f>
        <v>0.10960000000000003</v>
      </c>
      <c r="E21" s="53">
        <f>+'KTW-3 p4 - Factors'!D25</f>
        <v>0.11970000000000003</v>
      </c>
      <c r="G21" s="29"/>
    </row>
    <row r="22" spans="1:7" x14ac:dyDescent="0.2">
      <c r="A22" s="5"/>
    </row>
    <row r="23" spans="1:7" ht="15.75" thickBot="1" x14ac:dyDescent="0.25">
      <c r="A23" s="5">
        <v>7</v>
      </c>
      <c r="B23" s="1" t="s">
        <v>26</v>
      </c>
      <c r="D23" s="54">
        <f>D18*D21</f>
        <v>4066.315266666667</v>
      </c>
      <c r="E23" s="54">
        <f>E18*E21</f>
        <v>-1556.0999999999985</v>
      </c>
    </row>
    <row r="24" spans="1:7" ht="15.75" thickTop="1" x14ac:dyDescent="0.2">
      <c r="A24" s="5"/>
    </row>
    <row r="25" spans="1:7" x14ac:dyDescent="0.2">
      <c r="A25" s="5"/>
    </row>
    <row r="27" spans="1:7" x14ac:dyDescent="0.2">
      <c r="A27" s="1" t="s">
        <v>225</v>
      </c>
      <c r="B27" s="1" t="s">
        <v>152</v>
      </c>
      <c r="C27" s="23" t="s">
        <v>506</v>
      </c>
    </row>
    <row r="29" spans="1:7" x14ac:dyDescent="0.2">
      <c r="B29" s="198" t="s">
        <v>445</v>
      </c>
      <c r="C29" s="27">
        <v>21304.25</v>
      </c>
      <c r="D29" s="27"/>
    </row>
    <row r="30" spans="1:7" x14ac:dyDescent="0.2">
      <c r="B30" s="198" t="s">
        <v>492</v>
      </c>
      <c r="C30" s="27">
        <v>-35000</v>
      </c>
      <c r="D30" s="27"/>
    </row>
    <row r="31" spans="1:7" x14ac:dyDescent="0.2">
      <c r="B31" s="198" t="s">
        <v>493</v>
      </c>
      <c r="C31" s="47">
        <v>50000</v>
      </c>
      <c r="D31" s="29"/>
    </row>
    <row r="32" spans="1:7" x14ac:dyDescent="0.2">
      <c r="B32" s="1" t="s">
        <v>402</v>
      </c>
      <c r="C32" s="27">
        <f>AVERAGE(C29:C31)</f>
        <v>12101.416666666666</v>
      </c>
    </row>
    <row r="36" spans="2:2" x14ac:dyDescent="0.2">
      <c r="B36" s="198"/>
    </row>
  </sheetData>
  <customSheetViews>
    <customSheetView guid="{A7BD13BF-7E57-44D7-9B02-43E2FA430390}" showPageBreaks="1" fitToPage="1" printArea="1">
      <selection activeCell="H26" sqref="H26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showPageBreaks="1" fitToPage="1" printArea="1">
      <selection activeCell="J20" sqref="J20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showPageBreaks="1" fitToPage="1" printArea="1">
      <selection activeCell="J20" sqref="J20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>
      <selection activeCell="H26" sqref="H26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>
    <tabColor theme="4" tint="0.59999389629810485"/>
    <pageSetUpPr fitToPage="1"/>
  </sheetPr>
  <dimension ref="A1:E20"/>
  <sheetViews>
    <sheetView workbookViewId="0">
      <selection activeCell="B6" sqref="B6"/>
    </sheetView>
  </sheetViews>
  <sheetFormatPr defaultColWidth="9.140625" defaultRowHeight="15" x14ac:dyDescent="0.2"/>
  <cols>
    <col min="1" max="1" width="4.7109375" style="8" customWidth="1"/>
    <col min="2" max="2" width="52.28515625" style="8" customWidth="1"/>
    <col min="3" max="3" width="14.85546875" style="8" customWidth="1"/>
    <col min="4" max="16384" width="9.140625" style="8"/>
  </cols>
  <sheetData>
    <row r="1" spans="1:5" x14ac:dyDescent="0.2">
      <c r="A1" s="1" t="str">
        <f>'KTW-4 p7 - Uncollectible'!A1</f>
        <v>NW Natural</v>
      </c>
      <c r="B1" s="1"/>
      <c r="C1" s="384" t="s">
        <v>593</v>
      </c>
    </row>
    <row r="2" spans="1:5" x14ac:dyDescent="0.2">
      <c r="A2" s="1" t="str">
        <f>'KTW-4 p7 - Uncollectible'!A2</f>
        <v>Test Year Based on Twelve Months Ended September 30, 2020</v>
      </c>
      <c r="B2" s="1"/>
      <c r="C2" s="384" t="s">
        <v>616</v>
      </c>
    </row>
    <row r="3" spans="1:5" x14ac:dyDescent="0.2">
      <c r="A3" s="156" t="s">
        <v>249</v>
      </c>
      <c r="B3" s="1"/>
      <c r="C3" s="1"/>
    </row>
    <row r="4" spans="1:5" x14ac:dyDescent="0.2">
      <c r="A4" s="1"/>
      <c r="B4" s="1"/>
      <c r="C4" s="1"/>
    </row>
    <row r="5" spans="1:5" x14ac:dyDescent="0.2">
      <c r="A5" s="1"/>
      <c r="B5" s="1"/>
      <c r="C5" s="1"/>
    </row>
    <row r="6" spans="1:5" x14ac:dyDescent="0.2">
      <c r="A6" s="5" t="s">
        <v>15</v>
      </c>
      <c r="B6" s="1"/>
      <c r="C6" s="1"/>
    </row>
    <row r="7" spans="1:5" x14ac:dyDescent="0.2">
      <c r="A7" s="7" t="s">
        <v>31</v>
      </c>
      <c r="B7" s="1"/>
      <c r="C7" s="7" t="s">
        <v>53</v>
      </c>
      <c r="E7" s="268"/>
    </row>
    <row r="8" spans="1:5" x14ac:dyDescent="0.2">
      <c r="A8" s="5"/>
      <c r="B8" s="1"/>
      <c r="C8" s="5" t="s">
        <v>55</v>
      </c>
    </row>
    <row r="9" spans="1:5" x14ac:dyDescent="0.2">
      <c r="A9" s="5"/>
      <c r="B9" s="1"/>
    </row>
    <row r="10" spans="1:5" x14ac:dyDescent="0.2">
      <c r="A10" s="5"/>
      <c r="B10" s="1"/>
    </row>
    <row r="11" spans="1:5" ht="15.75" thickBot="1" x14ac:dyDescent="0.25">
      <c r="A11" s="5">
        <v>1</v>
      </c>
      <c r="B11" s="1" t="s">
        <v>248</v>
      </c>
      <c r="C11" s="199">
        <f>+C20</f>
        <v>330000</v>
      </c>
    </row>
    <row r="12" spans="1:5" ht="15.75" thickTop="1" x14ac:dyDescent="0.2"/>
    <row r="13" spans="1:5" ht="15.75" thickBot="1" x14ac:dyDescent="0.25">
      <c r="A13" s="5">
        <v>2</v>
      </c>
      <c r="B13" s="1" t="s">
        <v>250</v>
      </c>
      <c r="C13" s="54">
        <f>+C11/3</f>
        <v>110000</v>
      </c>
    </row>
    <row r="14" spans="1:5" ht="15.75" thickTop="1" x14ac:dyDescent="0.2"/>
    <row r="18" spans="2:5" x14ac:dyDescent="0.2">
      <c r="B18" s="1" t="s">
        <v>461</v>
      </c>
      <c r="C18" s="52">
        <v>130000</v>
      </c>
      <c r="E18" s="261"/>
    </row>
    <row r="19" spans="2:5" x14ac:dyDescent="0.2">
      <c r="B19" s="1" t="s">
        <v>462</v>
      </c>
      <c r="C19" s="447">
        <v>200000</v>
      </c>
      <c r="E19" s="261"/>
    </row>
    <row r="20" spans="2:5" x14ac:dyDescent="0.2">
      <c r="B20" s="200" t="s">
        <v>463</v>
      </c>
      <c r="C20" s="52">
        <f>C18+C19</f>
        <v>330000</v>
      </c>
    </row>
  </sheetData>
  <customSheetViews>
    <customSheetView guid="{A7BD13BF-7E57-44D7-9B02-43E2FA430390}" showPageBreaks="1" fitToPage="1" printArea="1">
      <selection activeCell="K32" sqref="K32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showPageBreaks="1" fitToPage="1" printArea="1">
      <selection activeCell="K22" sqref="K22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showPageBreaks="1" fitToPage="1" printArea="1">
      <selection activeCell="K22" sqref="K22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>
      <selection activeCell="K32" sqref="K32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phoneticPr fontId="5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6">
    <tabColor theme="4" tint="0.59999389629810485"/>
    <pageSetUpPr fitToPage="1"/>
  </sheetPr>
  <dimension ref="A1:F29"/>
  <sheetViews>
    <sheetView zoomScaleNormal="90" workbookViewId="0">
      <selection activeCell="S19" sqref="S19"/>
    </sheetView>
  </sheetViews>
  <sheetFormatPr defaultColWidth="8.85546875" defaultRowHeight="15" x14ac:dyDescent="0.2"/>
  <cols>
    <col min="1" max="1" width="4.7109375" style="34" customWidth="1"/>
    <col min="2" max="2" width="37.42578125" style="34" customWidth="1"/>
    <col min="3" max="3" width="14.42578125" style="35" customWidth="1"/>
    <col min="4" max="4" width="14.7109375" style="35" customWidth="1"/>
    <col min="5" max="16384" width="8.85546875" style="35"/>
  </cols>
  <sheetData>
    <row r="1" spans="1:4" x14ac:dyDescent="0.2">
      <c r="A1" s="34" t="str">
        <f>'KTW-2 - Rev Req'!A1</f>
        <v>NW Natural</v>
      </c>
      <c r="D1" s="384" t="s">
        <v>593</v>
      </c>
    </row>
    <row r="2" spans="1:4" x14ac:dyDescent="0.2">
      <c r="A2" s="34" t="str">
        <f>+'KTW-4 p9 - Marketing'!A2</f>
        <v>Test Year Based on Twelve Months Ended September 30, 2020</v>
      </c>
      <c r="D2" s="384" t="s">
        <v>617</v>
      </c>
    </row>
    <row r="3" spans="1:4" x14ac:dyDescent="0.2">
      <c r="A3" s="34" t="s">
        <v>196</v>
      </c>
    </row>
    <row r="6" spans="1:4" x14ac:dyDescent="0.2">
      <c r="A6" s="37" t="s">
        <v>15</v>
      </c>
    </row>
    <row r="7" spans="1:4" x14ac:dyDescent="0.2">
      <c r="A7" s="201" t="s">
        <v>31</v>
      </c>
      <c r="D7" s="39" t="s">
        <v>50</v>
      </c>
    </row>
    <row r="8" spans="1:4" x14ac:dyDescent="0.2">
      <c r="A8" s="37"/>
    </row>
    <row r="9" spans="1:4" x14ac:dyDescent="0.2">
      <c r="A9" s="37"/>
    </row>
    <row r="10" spans="1:4" x14ac:dyDescent="0.2">
      <c r="A10" s="37">
        <v>1</v>
      </c>
      <c r="B10" s="34" t="s">
        <v>197</v>
      </c>
      <c r="D10" s="110">
        <v>-30850.694657576569</v>
      </c>
    </row>
    <row r="11" spans="1:4" x14ac:dyDescent="0.2">
      <c r="A11" s="37"/>
      <c r="D11" s="121"/>
    </row>
    <row r="12" spans="1:4" x14ac:dyDescent="0.2">
      <c r="A12" s="37">
        <v>2</v>
      </c>
      <c r="B12" s="34" t="s">
        <v>198</v>
      </c>
      <c r="D12" s="110">
        <v>-79301.031419637919</v>
      </c>
    </row>
    <row r="13" spans="1:4" x14ac:dyDescent="0.2">
      <c r="A13" s="37"/>
      <c r="D13" s="121"/>
    </row>
    <row r="14" spans="1:4" x14ac:dyDescent="0.2">
      <c r="A14" s="37"/>
      <c r="D14" s="121"/>
    </row>
    <row r="15" spans="1:4" x14ac:dyDescent="0.2">
      <c r="A15" s="37"/>
      <c r="B15" s="202"/>
      <c r="D15" s="420"/>
    </row>
    <row r="16" spans="1:4" x14ac:dyDescent="0.2">
      <c r="A16" s="37"/>
      <c r="D16" s="420"/>
    </row>
    <row r="17" spans="1:6" x14ac:dyDescent="0.2">
      <c r="A17" s="37"/>
      <c r="D17" s="203"/>
    </row>
    <row r="18" spans="1:6" x14ac:dyDescent="0.2">
      <c r="A18" s="37"/>
      <c r="D18" s="421"/>
    </row>
    <row r="19" spans="1:6" x14ac:dyDescent="0.2">
      <c r="D19" s="421"/>
    </row>
    <row r="29" spans="1:6" x14ac:dyDescent="0.2">
      <c r="F29" s="266"/>
    </row>
  </sheetData>
  <customSheetViews>
    <customSheetView guid="{A7BD13BF-7E57-44D7-9B02-43E2FA430390}" showPageBreaks="1" fitToPage="1" printArea="1">
      <selection activeCell="E37" sqref="E37:E38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showPageBreaks="1" fitToPage="1" printArea="1">
      <selection activeCell="M43" sqref="M43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showPageBreaks="1" fitToPage="1" printArea="1">
      <selection activeCell="M43" sqref="M43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>
      <selection activeCell="E37" sqref="E37:E38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5" tint="0.59999389629810485"/>
    <pageSetUpPr fitToPage="1"/>
  </sheetPr>
  <dimension ref="A1:H44"/>
  <sheetViews>
    <sheetView topLeftCell="A10" zoomScaleNormal="100" workbookViewId="0">
      <selection activeCell="C35" sqref="C35"/>
    </sheetView>
  </sheetViews>
  <sheetFormatPr defaultColWidth="10.28515625" defaultRowHeight="15" x14ac:dyDescent="0.2"/>
  <cols>
    <col min="1" max="1" width="4.7109375" style="1" customWidth="1"/>
    <col min="2" max="2" width="49.5703125" style="1" customWidth="1"/>
    <col min="3" max="3" width="15" style="8" customWidth="1"/>
    <col min="4" max="4" width="5.7109375" style="8" customWidth="1"/>
    <col min="5" max="5" width="13.7109375" style="8" customWidth="1"/>
    <col min="6" max="6" width="16.7109375" style="8" customWidth="1"/>
    <col min="7" max="7" width="12.5703125" style="8" customWidth="1"/>
    <col min="8" max="8" width="13.85546875" style="8" customWidth="1"/>
    <col min="9" max="11" width="10.28515625" style="8" customWidth="1"/>
    <col min="12" max="12" width="18.5703125" style="8" customWidth="1"/>
    <col min="13" max="16384" width="10.28515625" style="8"/>
  </cols>
  <sheetData>
    <row r="1" spans="1:8" x14ac:dyDescent="0.2">
      <c r="A1" s="1" t="s">
        <v>0</v>
      </c>
      <c r="E1" s="5" t="s">
        <v>589</v>
      </c>
    </row>
    <row r="2" spans="1:8" x14ac:dyDescent="0.2">
      <c r="A2" s="1" t="s">
        <v>2</v>
      </c>
      <c r="E2" s="5" t="s">
        <v>590</v>
      </c>
    </row>
    <row r="3" spans="1:8" x14ac:dyDescent="0.2">
      <c r="A3" s="3" t="s">
        <v>481</v>
      </c>
    </row>
    <row r="4" spans="1:8" x14ac:dyDescent="0.2">
      <c r="G4" s="9"/>
      <c r="H4" s="9"/>
    </row>
    <row r="6" spans="1:8" x14ac:dyDescent="0.2">
      <c r="C6" s="5" t="s">
        <v>7</v>
      </c>
      <c r="D6" s="5"/>
      <c r="E6" s="5" t="s">
        <v>8</v>
      </c>
      <c r="H6" s="9"/>
    </row>
    <row r="7" spans="1:8" x14ac:dyDescent="0.2">
      <c r="A7" s="5" t="s">
        <v>15</v>
      </c>
      <c r="C7" s="5" t="s">
        <v>11</v>
      </c>
      <c r="D7" s="5"/>
      <c r="E7" s="5" t="s">
        <v>11</v>
      </c>
    </row>
    <row r="8" spans="1:8" x14ac:dyDescent="0.2">
      <c r="A8" s="429" t="s">
        <v>31</v>
      </c>
      <c r="C8" s="7" t="s">
        <v>16</v>
      </c>
      <c r="D8" s="5"/>
      <c r="E8" s="7" t="s">
        <v>16</v>
      </c>
    </row>
    <row r="9" spans="1:8" x14ac:dyDescent="0.2">
      <c r="A9" s="273"/>
      <c r="C9" s="5" t="s">
        <v>55</v>
      </c>
      <c r="D9" s="5"/>
      <c r="E9" s="5" t="s">
        <v>56</v>
      </c>
    </row>
    <row r="10" spans="1:8" x14ac:dyDescent="0.2">
      <c r="A10" s="5"/>
    </row>
    <row r="11" spans="1:8" x14ac:dyDescent="0.2">
      <c r="A11" s="5"/>
      <c r="B11" s="1" t="s">
        <v>74</v>
      </c>
      <c r="C11" s="10"/>
      <c r="E11" s="10"/>
    </row>
    <row r="12" spans="1:8" x14ac:dyDescent="0.25">
      <c r="A12" s="5">
        <v>1</v>
      </c>
      <c r="B12" s="1" t="s">
        <v>77</v>
      </c>
      <c r="C12" s="11">
        <v>673591721.25999999</v>
      </c>
      <c r="D12" s="11"/>
      <c r="E12" s="11">
        <f>'KTW-2 - Rev Req'!C12</f>
        <v>71678740.359525383</v>
      </c>
      <c r="H12" s="26"/>
    </row>
    <row r="13" spans="1:8" x14ac:dyDescent="0.2">
      <c r="A13" s="5">
        <v>2</v>
      </c>
      <c r="B13" s="1" t="s">
        <v>83</v>
      </c>
      <c r="C13" s="14">
        <v>20321481.68</v>
      </c>
      <c r="D13" s="27"/>
      <c r="E13" s="14">
        <f>'KTW-2 - Rev Req'!C13</f>
        <v>2292849.1400000006</v>
      </c>
    </row>
    <row r="14" spans="1:8" x14ac:dyDescent="0.2">
      <c r="A14" s="5">
        <v>3</v>
      </c>
      <c r="B14" s="1" t="s">
        <v>87</v>
      </c>
      <c r="C14" s="16">
        <v>4009578.6999999993</v>
      </c>
      <c r="D14" s="27"/>
      <c r="E14" s="16">
        <f>'KTW-2 - Rev Req'!C14</f>
        <v>-2096028.5439839992</v>
      </c>
    </row>
    <row r="15" spans="1:8" x14ac:dyDescent="0.2">
      <c r="A15" s="5"/>
      <c r="C15" s="14"/>
      <c r="D15" s="28"/>
      <c r="E15" s="14"/>
    </row>
    <row r="16" spans="1:8" x14ac:dyDescent="0.2">
      <c r="A16" s="5">
        <v>4</v>
      </c>
      <c r="B16" s="1" t="s">
        <v>96</v>
      </c>
      <c r="C16" s="14">
        <f>SUM(C12:C15)</f>
        <v>697922781.63999999</v>
      </c>
      <c r="D16" s="28"/>
      <c r="E16" s="14">
        <f>SUM(E12:E15)</f>
        <v>71875560.955541387</v>
      </c>
    </row>
    <row r="17" spans="1:6" x14ac:dyDescent="0.2">
      <c r="A17" s="5"/>
      <c r="B17" s="17"/>
      <c r="C17" s="14"/>
      <c r="D17" s="28"/>
      <c r="E17" s="9"/>
    </row>
    <row r="18" spans="1:6" x14ac:dyDescent="0.2">
      <c r="A18" s="5"/>
      <c r="B18" s="1" t="s">
        <v>103</v>
      </c>
      <c r="C18" s="14"/>
      <c r="D18" s="28"/>
      <c r="E18" s="14"/>
    </row>
    <row r="19" spans="1:6" x14ac:dyDescent="0.2">
      <c r="A19" s="5">
        <v>5</v>
      </c>
      <c r="B19" s="1" t="s">
        <v>105</v>
      </c>
      <c r="C19" s="14">
        <v>265456710.94999999</v>
      </c>
      <c r="D19" s="28"/>
      <c r="E19" s="14">
        <f>'KTW-2 - Rev Req'!C19</f>
        <v>24325146.627437029</v>
      </c>
      <c r="F19" s="29"/>
    </row>
    <row r="20" spans="1:6" x14ac:dyDescent="0.2">
      <c r="A20" s="5">
        <v>6</v>
      </c>
      <c r="B20" s="1" t="s">
        <v>109</v>
      </c>
      <c r="C20" s="14">
        <f>+'KTW-3 p2 &amp; p3 - O&amp;M'!E72</f>
        <v>976008.45000000007</v>
      </c>
      <c r="D20" s="28"/>
      <c r="E20" s="14">
        <f>'KTW-2 - Rev Req'!C20</f>
        <v>110387.16508799998</v>
      </c>
    </row>
    <row r="21" spans="1:6" x14ac:dyDescent="0.2">
      <c r="A21" s="5">
        <v>7</v>
      </c>
      <c r="B21" s="1" t="s">
        <v>110</v>
      </c>
      <c r="C21" s="16">
        <f>'KTW-3 p2 &amp; p3 - O&amp;M'!E107-C20</f>
        <v>180287821.55999997</v>
      </c>
      <c r="D21" s="28"/>
      <c r="E21" s="16">
        <f>'KTW-2 - Rev Req'!C21</f>
        <v>18749534.194650553</v>
      </c>
    </row>
    <row r="22" spans="1:6" x14ac:dyDescent="0.2">
      <c r="A22" s="5"/>
      <c r="C22" s="14"/>
      <c r="D22" s="28"/>
      <c r="E22" s="14"/>
    </row>
    <row r="23" spans="1:6" x14ac:dyDescent="0.2">
      <c r="A23" s="5">
        <v>8</v>
      </c>
      <c r="B23" s="1" t="s">
        <v>118</v>
      </c>
      <c r="C23" s="14">
        <f>SUM(C19:C22)</f>
        <v>446720540.95999992</v>
      </c>
      <c r="D23" s="28"/>
      <c r="E23" s="14">
        <f>SUM(E19:E22)</f>
        <v>43185067.987175584</v>
      </c>
    </row>
    <row r="24" spans="1:6" x14ac:dyDescent="0.2">
      <c r="A24" s="5"/>
      <c r="B24" s="2"/>
      <c r="C24" s="14"/>
      <c r="D24" s="28"/>
      <c r="E24" s="14"/>
    </row>
    <row r="25" spans="1:6" x14ac:dyDescent="0.2">
      <c r="A25" s="5"/>
      <c r="C25" s="14"/>
      <c r="D25" s="28"/>
      <c r="E25" s="14"/>
    </row>
    <row r="26" spans="1:6" x14ac:dyDescent="0.2">
      <c r="A26" s="5">
        <v>9</v>
      </c>
      <c r="B26" s="1" t="s">
        <v>123</v>
      </c>
      <c r="C26" s="14" t="e">
        <f>+'KTW-3 p5 - Taxes'!#REF!</f>
        <v>#REF!</v>
      </c>
      <c r="D26" s="28"/>
      <c r="E26" s="14">
        <f>'KTW-2 - Rev Req'!C26</f>
        <v>1405065.9371478483</v>
      </c>
    </row>
    <row r="27" spans="1:6" x14ac:dyDescent="0.2">
      <c r="A27" s="5">
        <v>10</v>
      </c>
      <c r="B27" s="1" t="s">
        <v>127</v>
      </c>
      <c r="C27" s="14" t="e">
        <f>+'KTW-3 p5 - Taxes'!#REF!</f>
        <v>#REF!</v>
      </c>
      <c r="D27" s="28"/>
      <c r="E27" s="14">
        <v>0</v>
      </c>
    </row>
    <row r="28" spans="1:6" x14ac:dyDescent="0.2">
      <c r="A28" s="5">
        <v>11</v>
      </c>
      <c r="B28" s="1" t="s">
        <v>124</v>
      </c>
      <c r="C28" s="14">
        <v>21903232.309999999</v>
      </c>
      <c r="D28" s="28"/>
      <c r="E28" s="14">
        <f>+'KTW-2 - Rev Req'!C27</f>
        <v>1671587.02</v>
      </c>
    </row>
    <row r="29" spans="1:6" x14ac:dyDescent="0.2">
      <c r="A29" s="5">
        <v>12</v>
      </c>
      <c r="B29" s="1" t="s">
        <v>128</v>
      </c>
      <c r="C29" s="14">
        <v>29244021.349999998</v>
      </c>
      <c r="D29" s="28"/>
      <c r="E29" s="14">
        <f>'KTW-2 - Rev Req'!C28</f>
        <v>3814799.1242389199</v>
      </c>
    </row>
    <row r="30" spans="1:6" x14ac:dyDescent="0.2">
      <c r="A30" s="5">
        <v>13</v>
      </c>
      <c r="C30" s="16">
        <v>93582173.159999982</v>
      </c>
      <c r="D30" s="28"/>
      <c r="E30" s="16">
        <f>+'KTW-2 - Rev Req'!C29</f>
        <v>10935860.024140656</v>
      </c>
    </row>
    <row r="31" spans="1:6" x14ac:dyDescent="0.2">
      <c r="A31" s="5"/>
      <c r="C31" s="14"/>
      <c r="D31" s="28"/>
      <c r="E31" s="14"/>
    </row>
    <row r="32" spans="1:6" x14ac:dyDescent="0.2">
      <c r="A32" s="5">
        <v>14</v>
      </c>
      <c r="B32" s="1" t="s">
        <v>132</v>
      </c>
      <c r="C32" s="16" t="e">
        <f>SUM(C23:C31)</f>
        <v>#REF!</v>
      </c>
      <c r="D32" s="28"/>
      <c r="E32" s="16">
        <f>SUM(E23:E31)</f>
        <v>61012380.092703015</v>
      </c>
    </row>
    <row r="33" spans="1:7" x14ac:dyDescent="0.2">
      <c r="A33" s="5"/>
      <c r="C33" s="27"/>
      <c r="D33" s="28"/>
      <c r="E33" s="27"/>
    </row>
    <row r="34" spans="1:7" ht="15.75" thickBot="1" x14ac:dyDescent="0.25">
      <c r="A34" s="5">
        <v>15</v>
      </c>
      <c r="B34" s="1" t="s">
        <v>136</v>
      </c>
      <c r="C34" s="30" t="e">
        <f>C16-C32</f>
        <v>#REF!</v>
      </c>
      <c r="D34" s="31"/>
      <c r="E34" s="30">
        <f>E16-E32</f>
        <v>10863180.862838373</v>
      </c>
      <c r="F34" s="32"/>
    </row>
    <row r="35" spans="1:7" ht="15.75" thickTop="1" x14ac:dyDescent="0.2">
      <c r="A35" s="5"/>
      <c r="C35" s="33"/>
      <c r="D35" s="31"/>
      <c r="E35" s="33"/>
    </row>
    <row r="36" spans="1:7" ht="15.75" thickBot="1" x14ac:dyDescent="0.25">
      <c r="A36" s="5">
        <v>16</v>
      </c>
      <c r="B36" s="1" t="s">
        <v>139</v>
      </c>
      <c r="C36" s="324">
        <f>'KTW-3 p6 &amp; p7 - Rate Base'!Q43</f>
        <v>1439914127.6070929</v>
      </c>
      <c r="D36" s="31"/>
      <c r="E36" s="30">
        <f>'KTW-2 - Rev Req'!C35</f>
        <v>194666558.94072384</v>
      </c>
      <c r="F36" s="32"/>
      <c r="G36" s="29"/>
    </row>
    <row r="37" spans="1:7" ht="15.75" thickTop="1" x14ac:dyDescent="0.2">
      <c r="A37" s="5"/>
      <c r="C37" s="11"/>
      <c r="D37" s="20"/>
      <c r="E37" s="11"/>
    </row>
    <row r="38" spans="1:7" x14ac:dyDescent="0.2">
      <c r="A38" s="5"/>
      <c r="D38" s="20"/>
    </row>
    <row r="39" spans="1:7" ht="15.75" thickBot="1" x14ac:dyDescent="0.25">
      <c r="A39" s="5">
        <v>17</v>
      </c>
      <c r="B39" s="1" t="s">
        <v>143</v>
      </c>
      <c r="C39" s="21" t="e">
        <f>ROUND(+C34/C36,5)</f>
        <v>#REF!</v>
      </c>
      <c r="D39" s="20"/>
      <c r="E39" s="21">
        <f>ROUND(+E34/E36,5)</f>
        <v>5.5800000000000002E-2</v>
      </c>
    </row>
    <row r="40" spans="1:7" ht="15.75" thickTop="1" x14ac:dyDescent="0.2">
      <c r="A40" s="5"/>
      <c r="C40" s="22"/>
      <c r="D40" s="20"/>
      <c r="E40" s="22"/>
    </row>
    <row r="41" spans="1:7" ht="15.75" thickBot="1" x14ac:dyDescent="0.25">
      <c r="A41" s="5">
        <v>18</v>
      </c>
      <c r="B41" s="1" t="s">
        <v>146</v>
      </c>
      <c r="C41" s="21" t="e">
        <f>((+C39-'KTW-3 p8 - Cost of Cap'!$E$11-'KTW-3 p8 - Cost of Cap'!$E$12)/'KTW-3 p8 - Cost of Cap'!$C$13)</f>
        <v>#REF!</v>
      </c>
      <c r="D41" s="20"/>
      <c r="E41" s="21">
        <f>((+E39-'KTW-3 p8 - Cost of Cap'!$E$11-'KTW-3 p8 - Cost of Cap'!$E$12)/'KTW-3 p8 - Cost of Cap'!$C$13)</f>
        <v>6.6795918367346954E-2</v>
      </c>
    </row>
    <row r="42" spans="1:7" ht="15.75" thickTop="1" x14ac:dyDescent="0.2">
      <c r="D42" s="20"/>
    </row>
    <row r="43" spans="1:7" x14ac:dyDescent="0.2">
      <c r="D43" s="20"/>
    </row>
    <row r="44" spans="1:7" x14ac:dyDescent="0.2">
      <c r="D44" s="20"/>
    </row>
  </sheetData>
  <customSheetViews>
    <customSheetView guid="{A7BD13BF-7E57-44D7-9B02-43E2FA430390}" showPageBreaks="1" fitToPage="1" printArea="1">
      <selection activeCell="A3" sqref="A3"/>
      <pageMargins left="0.5" right="0.5" top="0.5" bottom="0.5" header="0.25" footer="0.25"/>
      <printOptions horizontalCentered="1"/>
      <pageSetup scale="89" orientation="landscape" r:id="rId1"/>
      <headerFooter alignWithMargins="0"/>
    </customSheetView>
    <customSheetView guid="{C29552AC-6B79-447F-B962-713ED43BDF1A}" showPageBreaks="1" fitToPage="1" printArea="1">
      <selection activeCell="C14" sqref="C14"/>
      <pageMargins left="0.5" right="0.5" top="0.5" bottom="0.5" header="0.25" footer="0.25"/>
      <printOptions horizontalCentered="1"/>
      <pageSetup scale="89" orientation="landscape" r:id="rId2"/>
      <headerFooter alignWithMargins="0"/>
    </customSheetView>
    <customSheetView guid="{6ED201AA-AB2E-4FE7-B06B-B07932512C4D}" showPageBreaks="1" fitToPage="1" printArea="1">
      <selection activeCell="C13" sqref="C13"/>
      <pageMargins left="0.5" right="0.5" top="0.5" bottom="0.5" header="0.25" footer="0.25"/>
      <printOptions horizontalCentered="1"/>
      <pageSetup scale="89" orientation="landscape" r:id="rId3"/>
      <headerFooter alignWithMargins="0"/>
    </customSheetView>
    <customSheetView guid="{D711E10B-9441-4991-A2CB-ED400E35790D}" fitToPage="1">
      <selection activeCell="A3" sqref="A3"/>
      <pageMargins left="0.5" right="0.5" top="0.5" bottom="0.5" header="0.25" footer="0.25"/>
      <printOptions horizontalCentered="1"/>
      <pageSetup scale="89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89" orientation="landscape" r:id="rId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59999389629810485"/>
    <pageSetUpPr fitToPage="1"/>
  </sheetPr>
  <dimension ref="A1:O53"/>
  <sheetViews>
    <sheetView workbookViewId="0">
      <selection activeCell="K27" sqref="K27"/>
    </sheetView>
  </sheetViews>
  <sheetFormatPr defaultColWidth="9.140625" defaultRowHeight="15" x14ac:dyDescent="0.2"/>
  <cols>
    <col min="1" max="1" width="5.5703125" style="8" customWidth="1"/>
    <col min="2" max="2" width="55.7109375" style="8" customWidth="1"/>
    <col min="3" max="3" width="15.5703125" style="8" customWidth="1"/>
    <col min="4" max="8" width="9.140625" style="8"/>
    <col min="9" max="14" width="12.42578125" style="8" customWidth="1"/>
    <col min="15" max="15" width="14.140625" style="8" customWidth="1"/>
    <col min="16" max="16384" width="9.140625" style="8"/>
  </cols>
  <sheetData>
    <row r="1" spans="1:15" ht="14.45" customHeight="1" x14ac:dyDescent="0.2">
      <c r="A1" s="1" t="str">
        <f>'KTW-4 p7 - Uncollectible'!A1</f>
        <v>NW Natural</v>
      </c>
      <c r="B1" s="1"/>
      <c r="C1" s="384" t="s">
        <v>593</v>
      </c>
    </row>
    <row r="2" spans="1:15" ht="14.45" customHeight="1" x14ac:dyDescent="0.2">
      <c r="A2" s="1" t="str">
        <f>'KTW-4 p7 - Uncollectible'!A2</f>
        <v>Test Year Based on Twelve Months Ended September 30, 2020</v>
      </c>
      <c r="B2" s="1"/>
      <c r="C2" s="384" t="s">
        <v>618</v>
      </c>
    </row>
    <row r="3" spans="1:15" ht="14.45" customHeight="1" x14ac:dyDescent="0.2">
      <c r="A3" s="156" t="s">
        <v>476</v>
      </c>
      <c r="B3" s="1"/>
      <c r="C3" s="1"/>
    </row>
    <row r="4" spans="1:15" ht="14.45" customHeight="1" x14ac:dyDescent="0.2">
      <c r="A4" s="327"/>
      <c r="B4" s="1"/>
      <c r="C4" s="1"/>
    </row>
    <row r="5" spans="1:15" ht="14.45" customHeight="1" x14ac:dyDescent="0.2">
      <c r="A5" s="1"/>
      <c r="B5" s="1"/>
      <c r="C5" s="1"/>
    </row>
    <row r="6" spans="1:15" ht="14.45" customHeight="1" x14ac:dyDescent="0.2">
      <c r="A6" s="5" t="s">
        <v>15</v>
      </c>
      <c r="B6" s="1"/>
      <c r="C6" s="1"/>
    </row>
    <row r="7" spans="1:15" ht="14.45" customHeight="1" x14ac:dyDescent="0.2">
      <c r="A7" s="7" t="s">
        <v>31</v>
      </c>
      <c r="B7" s="1"/>
      <c r="C7" s="7" t="s">
        <v>53</v>
      </c>
    </row>
    <row r="8" spans="1:15" ht="14.45" customHeight="1" x14ac:dyDescent="0.2">
      <c r="A8" s="5"/>
      <c r="B8" s="1"/>
      <c r="C8" s="5" t="s">
        <v>55</v>
      </c>
    </row>
    <row r="9" spans="1:15" ht="14.45" customHeight="1" x14ac:dyDescent="0.2">
      <c r="A9" s="5"/>
      <c r="B9" s="1"/>
    </row>
    <row r="10" spans="1:15" ht="14.45" customHeight="1" x14ac:dyDescent="0.2">
      <c r="A10" s="5"/>
      <c r="B10" s="1"/>
    </row>
    <row r="11" spans="1:15" ht="14.45" customHeight="1" x14ac:dyDescent="0.2">
      <c r="A11" s="5">
        <v>1</v>
      </c>
      <c r="B11" s="1" t="s">
        <v>507</v>
      </c>
      <c r="C11" s="13">
        <v>-456714.79000000004</v>
      </c>
    </row>
    <row r="12" spans="1:15" ht="14.45" customHeight="1" x14ac:dyDescent="0.2">
      <c r="A12" s="5">
        <f>+A11+1</f>
        <v>2</v>
      </c>
      <c r="B12" s="1" t="s">
        <v>508</v>
      </c>
      <c r="C12" s="15">
        <v>158070.59</v>
      </c>
    </row>
    <row r="13" spans="1:15" ht="14.45" customHeight="1" x14ac:dyDescent="0.25">
      <c r="A13" s="5">
        <f t="shared" ref="A13:A23" si="0">+A12+1</f>
        <v>3</v>
      </c>
      <c r="B13" s="1" t="s">
        <v>512</v>
      </c>
      <c r="C13" s="13">
        <f>SUM(C11:C12)</f>
        <v>-298644.20000000007</v>
      </c>
      <c r="I13" s="192"/>
      <c r="J13" s="192"/>
      <c r="K13" s="192"/>
      <c r="L13" s="26"/>
      <c r="M13" s="26"/>
      <c r="N13" s="192"/>
      <c r="O13" s="192"/>
    </row>
    <row r="14" spans="1:15" ht="14.45" customHeight="1" x14ac:dyDescent="0.25">
      <c r="A14" s="5">
        <f t="shared" si="0"/>
        <v>4</v>
      </c>
      <c r="C14" s="13"/>
      <c r="I14" s="192"/>
      <c r="J14" s="192"/>
      <c r="K14" s="192"/>
      <c r="L14" s="26"/>
      <c r="M14" s="26"/>
      <c r="N14" s="192"/>
      <c r="O14" s="192"/>
    </row>
    <row r="15" spans="1:15" ht="14.45" customHeight="1" x14ac:dyDescent="0.25">
      <c r="A15" s="5">
        <f t="shared" si="0"/>
        <v>5</v>
      </c>
      <c r="B15" s="1" t="s">
        <v>509</v>
      </c>
      <c r="C15" s="13">
        <v>-260979.88</v>
      </c>
      <c r="I15" s="192"/>
      <c r="J15" s="192"/>
      <c r="K15" s="192"/>
      <c r="L15" s="26"/>
      <c r="M15" s="26"/>
      <c r="N15" s="192"/>
      <c r="O15" s="192"/>
    </row>
    <row r="16" spans="1:15" ht="14.45" customHeight="1" x14ac:dyDescent="0.2">
      <c r="A16" s="5">
        <f t="shared" si="0"/>
        <v>6</v>
      </c>
      <c r="B16" s="1" t="s">
        <v>510</v>
      </c>
      <c r="C16" s="15">
        <v>90326.051428571431</v>
      </c>
    </row>
    <row r="17" spans="1:3" ht="14.45" customHeight="1" x14ac:dyDescent="0.2">
      <c r="A17" s="5">
        <f t="shared" si="0"/>
        <v>7</v>
      </c>
      <c r="B17" s="1" t="s">
        <v>511</v>
      </c>
      <c r="C17" s="159">
        <f>SUM(C15:C16)</f>
        <v>-170653.82857142857</v>
      </c>
    </row>
    <row r="18" spans="1:3" ht="14.45" customHeight="1" x14ac:dyDescent="0.2">
      <c r="A18" s="5">
        <f t="shared" si="0"/>
        <v>8</v>
      </c>
      <c r="C18" s="13"/>
    </row>
    <row r="19" spans="1:3" ht="14.45" customHeight="1" x14ac:dyDescent="0.2">
      <c r="A19" s="5">
        <f t="shared" si="0"/>
        <v>9</v>
      </c>
      <c r="B19" s="1" t="s">
        <v>514</v>
      </c>
      <c r="C19" s="13">
        <f>C17-C13</f>
        <v>127990.3714285715</v>
      </c>
    </row>
    <row r="20" spans="1:3" ht="14.45" customHeight="1" x14ac:dyDescent="0.2">
      <c r="A20" s="5">
        <f t="shared" si="0"/>
        <v>10</v>
      </c>
      <c r="C20" s="13"/>
    </row>
    <row r="21" spans="1:3" ht="14.45" customHeight="1" x14ac:dyDescent="0.2">
      <c r="A21" s="5">
        <f t="shared" si="0"/>
        <v>11</v>
      </c>
      <c r="B21" s="1" t="s">
        <v>513</v>
      </c>
      <c r="C21" s="32">
        <f>'KTW-3 p4 - Factors'!D13</f>
        <v>0.10960000000000003</v>
      </c>
    </row>
    <row r="22" spans="1:3" ht="14.45" customHeight="1" x14ac:dyDescent="0.2">
      <c r="A22" s="5">
        <f t="shared" si="0"/>
        <v>12</v>
      </c>
      <c r="C22" s="13"/>
    </row>
    <row r="23" spans="1:3" ht="14.45" customHeight="1" thickBot="1" x14ac:dyDescent="0.25">
      <c r="A23" s="5">
        <f t="shared" si="0"/>
        <v>13</v>
      </c>
      <c r="B23" s="1" t="s">
        <v>515</v>
      </c>
      <c r="C23" s="403">
        <f>C19*C21</f>
        <v>14027.744708571439</v>
      </c>
    </row>
    <row r="24" spans="1:3" ht="14.45" customHeight="1" thickTop="1" x14ac:dyDescent="0.2"/>
    <row r="25" spans="1:3" ht="14.45" customHeight="1" x14ac:dyDescent="0.2"/>
    <row r="26" spans="1:3" ht="14.45" customHeight="1" x14ac:dyDescent="0.25">
      <c r="A26" s="192"/>
    </row>
    <row r="27" spans="1:3" ht="14.45" customHeight="1" x14ac:dyDescent="0.25">
      <c r="B27" s="192"/>
    </row>
    <row r="28" spans="1:3" ht="14.45" customHeight="1" x14ac:dyDescent="0.2"/>
    <row r="29" spans="1:3" ht="14.45" customHeight="1" x14ac:dyDescent="0.2"/>
    <row r="30" spans="1:3" ht="14.45" customHeight="1" x14ac:dyDescent="0.2"/>
    <row r="31" spans="1:3" ht="14.45" customHeight="1" x14ac:dyDescent="0.2"/>
    <row r="32" spans="1:3" ht="14.45" customHeight="1" x14ac:dyDescent="0.2"/>
    <row r="33" spans="1:4" ht="14.45" customHeight="1" x14ac:dyDescent="0.2"/>
    <row r="34" spans="1:4" ht="14.45" customHeight="1" x14ac:dyDescent="0.2"/>
    <row r="35" spans="1:4" ht="14.45" customHeight="1" x14ac:dyDescent="0.2"/>
    <row r="36" spans="1:4" ht="14.45" customHeight="1" x14ac:dyDescent="0.2"/>
    <row r="37" spans="1:4" ht="14.45" customHeight="1" x14ac:dyDescent="0.2"/>
    <row r="38" spans="1:4" ht="14.45" customHeight="1" x14ac:dyDescent="0.2"/>
    <row r="39" spans="1:4" ht="14.45" customHeight="1" x14ac:dyDescent="0.2"/>
    <row r="40" spans="1:4" ht="14.45" customHeight="1" x14ac:dyDescent="0.2"/>
    <row r="41" spans="1:4" ht="14.45" customHeight="1" x14ac:dyDescent="0.2"/>
    <row r="42" spans="1:4" ht="14.45" customHeight="1" x14ac:dyDescent="0.2"/>
    <row r="43" spans="1:4" ht="14.45" customHeight="1" x14ac:dyDescent="0.2"/>
    <row r="44" spans="1:4" ht="14.45" customHeight="1" x14ac:dyDescent="0.2"/>
    <row r="45" spans="1:4" ht="14.45" customHeight="1" x14ac:dyDescent="0.2"/>
    <row r="46" spans="1:4" ht="14.45" customHeight="1" x14ac:dyDescent="0.2"/>
    <row r="47" spans="1:4" ht="14.45" customHeight="1" x14ac:dyDescent="0.25">
      <c r="D47" s="26"/>
    </row>
    <row r="48" spans="1:4" ht="14.45" customHeight="1" x14ac:dyDescent="0.25">
      <c r="A48" s="192"/>
      <c r="B48" s="192"/>
      <c r="C48" s="26"/>
      <c r="D48" s="26"/>
    </row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</sheetData>
  <customSheetViews>
    <customSheetView guid="{A7BD13BF-7E57-44D7-9B02-43E2FA430390}" fitToPage="1">
      <selection activeCell="D27" sqref="D27"/>
      <pageMargins left="0.7" right="0.7" top="0.75" bottom="0.75" header="0.3" footer="0.3"/>
      <printOptions horizontalCentered="1"/>
      <pageSetup scale="85" orientation="landscape" r:id="rId1"/>
    </customSheetView>
    <customSheetView guid="{C29552AC-6B79-447F-B962-713ED43BDF1A}" fitToPage="1">
      <selection activeCell="F23" sqref="F23"/>
      <pageMargins left="0.7" right="0.7" top="0.75" bottom="0.75" header="0.3" footer="0.3"/>
      <printOptions horizontalCentered="1"/>
      <pageSetup scale="85" orientation="landscape" r:id="rId2"/>
    </customSheetView>
    <customSheetView guid="{6ED201AA-AB2E-4FE7-B06B-B07932512C4D}" fitToPage="1">
      <selection activeCell="C23" sqref="C23"/>
      <pageMargins left="0.7" right="0.7" top="0.75" bottom="0.75" header="0.3" footer="0.3"/>
      <printOptions horizontalCentered="1"/>
      <pageSetup scale="85" orientation="landscape" r:id="rId3"/>
    </customSheetView>
    <customSheetView guid="{D711E10B-9441-4991-A2CB-ED400E35790D}" fitToPage="1">
      <selection activeCell="D27" sqref="D27"/>
      <pageMargins left="0.7" right="0.7" top="0.75" bottom="0.75" header="0.3" footer="0.3"/>
      <printOptions horizontalCentered="1"/>
      <pageSetup scale="85" orientation="landscape" r:id="rId4"/>
    </customSheetView>
  </customSheetViews>
  <printOptions horizontalCentered="1"/>
  <pageMargins left="0.7" right="0.7" top="0.75" bottom="0.75" header="0.3" footer="0.3"/>
  <pageSetup scale="85" orientation="landscape"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3">
    <tabColor theme="9" tint="0.59999389629810485"/>
    <pageSetUpPr fitToPage="1"/>
  </sheetPr>
  <dimension ref="A1:O101"/>
  <sheetViews>
    <sheetView zoomScale="90" zoomScaleNormal="90" workbookViewId="0">
      <selection activeCell="B6" sqref="B6"/>
    </sheetView>
  </sheetViews>
  <sheetFormatPr defaultColWidth="9.140625" defaultRowHeight="15" x14ac:dyDescent="0.2"/>
  <cols>
    <col min="1" max="1" width="6.7109375" style="1" customWidth="1"/>
    <col min="2" max="2" width="53" style="1" customWidth="1"/>
    <col min="3" max="5" width="15.7109375" style="8" customWidth="1"/>
    <col min="6" max="6" width="17.42578125" style="8" customWidth="1"/>
    <col min="7" max="8" width="9.140625" style="8" customWidth="1"/>
    <col min="9" max="16384" width="9.140625" style="8"/>
  </cols>
  <sheetData>
    <row r="1" spans="1:10" x14ac:dyDescent="0.2">
      <c r="A1" s="1" t="s">
        <v>1</v>
      </c>
      <c r="C1" s="173"/>
      <c r="D1" s="173"/>
      <c r="E1" s="1"/>
      <c r="F1" s="384" t="s">
        <v>594</v>
      </c>
      <c r="G1" s="205"/>
    </row>
    <row r="2" spans="1:10" x14ac:dyDescent="0.2">
      <c r="A2" s="1" t="str">
        <f>+'KTW-4,5,8 p1 - Adjust Issues'!A3</f>
        <v>Test Year Based on Twelve Months Ended September 30, 2020</v>
      </c>
      <c r="C2" s="173"/>
      <c r="D2" s="173"/>
      <c r="E2" s="173"/>
      <c r="F2" s="384" t="s">
        <v>613</v>
      </c>
      <c r="G2" s="205"/>
      <c r="J2" s="206"/>
    </row>
    <row r="3" spans="1:10" x14ac:dyDescent="0.2">
      <c r="A3" s="3" t="s">
        <v>227</v>
      </c>
      <c r="C3" s="1"/>
      <c r="D3" s="1"/>
      <c r="E3" s="1"/>
      <c r="F3" s="1"/>
      <c r="G3" s="205"/>
      <c r="J3" s="206"/>
    </row>
    <row r="4" spans="1:10" x14ac:dyDescent="0.2">
      <c r="C4" s="1"/>
      <c r="D4" s="1"/>
      <c r="E4" s="1"/>
      <c r="F4" s="1"/>
      <c r="G4" s="205"/>
      <c r="J4" s="206"/>
    </row>
    <row r="5" spans="1:10" x14ac:dyDescent="0.2">
      <c r="C5" s="173"/>
      <c r="D5" s="173"/>
      <c r="E5" s="207"/>
      <c r="F5" s="173"/>
      <c r="G5" s="1"/>
      <c r="J5" s="206"/>
    </row>
    <row r="6" spans="1:10" x14ac:dyDescent="0.2">
      <c r="A6" s="5" t="s">
        <v>15</v>
      </c>
      <c r="C6" s="173"/>
      <c r="D6" s="173"/>
      <c r="E6" s="173"/>
      <c r="F6" s="173"/>
      <c r="G6" s="205"/>
      <c r="J6" s="206"/>
    </row>
    <row r="7" spans="1:10" x14ac:dyDescent="0.2">
      <c r="A7" s="7" t="s">
        <v>31</v>
      </c>
      <c r="C7" s="208" t="s">
        <v>233</v>
      </c>
      <c r="D7" s="208" t="s">
        <v>234</v>
      </c>
      <c r="E7" s="209" t="s">
        <v>284</v>
      </c>
      <c r="F7" s="209" t="s">
        <v>285</v>
      </c>
      <c r="G7" s="205"/>
      <c r="J7" s="206"/>
    </row>
    <row r="8" spans="1:10" x14ac:dyDescent="0.2">
      <c r="C8" s="204" t="s">
        <v>55</v>
      </c>
      <c r="D8" s="204" t="s">
        <v>56</v>
      </c>
      <c r="E8" s="204" t="s">
        <v>57</v>
      </c>
      <c r="F8" s="204" t="s">
        <v>58</v>
      </c>
      <c r="G8" s="205"/>
      <c r="J8" s="206"/>
    </row>
    <row r="9" spans="1:10" x14ac:dyDescent="0.2">
      <c r="C9" s="171"/>
      <c r="D9" s="171"/>
      <c r="E9" s="171"/>
      <c r="F9" s="171"/>
      <c r="G9" s="10"/>
      <c r="J9" s="206"/>
    </row>
    <row r="10" spans="1:10" x14ac:dyDescent="0.2">
      <c r="A10" s="5">
        <v>1</v>
      </c>
      <c r="B10" s="3" t="s">
        <v>500</v>
      </c>
      <c r="C10" s="262">
        <f>SUM(D10:F10)</f>
        <v>114256681.20000009</v>
      </c>
      <c r="D10" s="262">
        <f>'KTW-5 p4 - Payroll 2'!C12</f>
        <v>3852994.3999999948</v>
      </c>
      <c r="E10" s="262">
        <f>'KTW-5 p4 - Payroll 2'!D12</f>
        <v>57593249.610000059</v>
      </c>
      <c r="F10" s="262">
        <f>'KTW-5 p4 - Payroll 2'!E12</f>
        <v>52810437.190000042</v>
      </c>
      <c r="J10" s="206"/>
    </row>
    <row r="11" spans="1:10" x14ac:dyDescent="0.2">
      <c r="C11" s="210"/>
      <c r="D11" s="210"/>
      <c r="E11" s="210"/>
      <c r="F11" s="210"/>
      <c r="G11" s="10"/>
      <c r="J11" s="206"/>
    </row>
    <row r="12" spans="1:10" x14ac:dyDescent="0.2">
      <c r="A12" s="5">
        <f>+A10+1</f>
        <v>2</v>
      </c>
      <c r="B12" s="3" t="s">
        <v>232</v>
      </c>
      <c r="C12" s="13">
        <f>SUM(D12:F12)</f>
        <v>114256681.20000009</v>
      </c>
      <c r="D12" s="13">
        <f>'KTW-5 p4 - Payroll 2'!C17</f>
        <v>3852994.3999999943</v>
      </c>
      <c r="E12" s="13">
        <f>'KTW-5 p4 - Payroll 2'!D17</f>
        <v>57593249.610000059</v>
      </c>
      <c r="F12" s="13">
        <f>'KTW-5 p4 - Payroll 2'!E17</f>
        <v>52810437.190000042</v>
      </c>
      <c r="G12" s="10"/>
      <c r="J12" s="206"/>
    </row>
    <row r="13" spans="1:10" x14ac:dyDescent="0.2">
      <c r="A13" s="5">
        <f>+A12+1</f>
        <v>3</v>
      </c>
      <c r="B13" s="3" t="s">
        <v>544</v>
      </c>
      <c r="C13" s="13">
        <f>SUM(D13:F13)</f>
        <v>938000.80798045546</v>
      </c>
      <c r="D13" s="13"/>
      <c r="E13" s="13">
        <f>(E12/((1+C38*7/12)))*(1+C38)-E12</f>
        <v>938000.80798045546</v>
      </c>
      <c r="F13" s="13"/>
      <c r="G13" s="10"/>
      <c r="J13" s="206"/>
    </row>
    <row r="14" spans="1:10" x14ac:dyDescent="0.2">
      <c r="A14" s="5">
        <f>+A13+1</f>
        <v>4</v>
      </c>
      <c r="B14" s="3" t="s">
        <v>494</v>
      </c>
      <c r="C14" s="13">
        <f t="shared" ref="C14:C16" si="0">SUM(D14:F14)</f>
        <v>2107125.0150472983</v>
      </c>
      <c r="D14" s="13"/>
      <c r="E14" s="13">
        <f>+(E12+E13)*C39</f>
        <v>2107125.0150472983</v>
      </c>
      <c r="F14" s="13"/>
      <c r="J14" s="206"/>
    </row>
    <row r="15" spans="1:10" x14ac:dyDescent="0.2">
      <c r="A15" s="5">
        <f>+A14+1</f>
        <v>5</v>
      </c>
      <c r="B15" s="3" t="s">
        <v>545</v>
      </c>
      <c r="C15" s="13">
        <f t="shared" si="0"/>
        <v>422483.49751999974</v>
      </c>
      <c r="D15" s="13"/>
      <c r="E15" s="13"/>
      <c r="F15" s="13">
        <f>((F12)/((1+C35*10/12)))*(1+C35)-(F12)</f>
        <v>422483.49751999974</v>
      </c>
      <c r="G15" s="10"/>
    </row>
    <row r="16" spans="1:10" x14ac:dyDescent="0.2">
      <c r="A16" s="5">
        <f>+A15+1</f>
        <v>6</v>
      </c>
      <c r="B16" s="3" t="s">
        <v>549</v>
      </c>
      <c r="C16" s="13">
        <f t="shared" si="0"/>
        <v>984492.58867275715</v>
      </c>
      <c r="D16" s="13"/>
      <c r="E16" s="13"/>
      <c r="F16" s="13">
        <f>((F12+F15)/((1+C36*4/12)))*(1+C36)-(F12+F15)</f>
        <v>984492.58867275715</v>
      </c>
      <c r="G16" s="10"/>
    </row>
    <row r="17" spans="1:7" x14ac:dyDescent="0.2">
      <c r="A17" s="5">
        <f>+A16+1</f>
        <v>7</v>
      </c>
      <c r="B17" s="3" t="s">
        <v>499</v>
      </c>
      <c r="C17" s="15"/>
      <c r="D17" s="15"/>
      <c r="E17" s="15"/>
      <c r="F17" s="15">
        <f>(F12+F15+F16)*C37</f>
        <v>2331348.7708762907</v>
      </c>
      <c r="G17" s="10"/>
    </row>
    <row r="18" spans="1:7" x14ac:dyDescent="0.2">
      <c r="C18" s="13"/>
      <c r="D18" s="13"/>
      <c r="E18" s="13"/>
      <c r="F18" s="13"/>
    </row>
    <row r="19" spans="1:7" x14ac:dyDescent="0.2">
      <c r="A19" s="5">
        <f>+A17+1</f>
        <v>8</v>
      </c>
      <c r="B19" s="1" t="s">
        <v>222</v>
      </c>
      <c r="C19" s="13">
        <f>SUM(D19:F19)</f>
        <v>121040131.88009688</v>
      </c>
      <c r="D19" s="13">
        <f>SUM(D12:D17)</f>
        <v>3852994.3999999943</v>
      </c>
      <c r="E19" s="13">
        <f>SUM(E12:E16)</f>
        <v>60638375.433027811</v>
      </c>
      <c r="F19" s="13">
        <f>SUM(F12:F17)</f>
        <v>56548762.047069088</v>
      </c>
      <c r="G19" s="10"/>
    </row>
    <row r="20" spans="1:7" x14ac:dyDescent="0.2">
      <c r="C20" s="211"/>
      <c r="D20" s="159"/>
      <c r="E20" s="159"/>
      <c r="F20" s="159"/>
      <c r="G20" s="10"/>
    </row>
    <row r="21" spans="1:7" x14ac:dyDescent="0.2">
      <c r="A21" s="5">
        <f>+A19+1</f>
        <v>9</v>
      </c>
      <c r="B21" s="1" t="s">
        <v>496</v>
      </c>
      <c r="C21" s="269">
        <f>C23/C19</f>
        <v>0.6013060692448543</v>
      </c>
      <c r="D21" s="419">
        <v>0.69</v>
      </c>
      <c r="E21" s="419">
        <v>0.623</v>
      </c>
      <c r="F21" s="269">
        <v>0.57199999999999995</v>
      </c>
    </row>
    <row r="22" spans="1:7" x14ac:dyDescent="0.2">
      <c r="C22" s="212"/>
      <c r="D22" s="212"/>
      <c r="E22" s="212"/>
      <c r="F22" s="212"/>
    </row>
    <row r="23" spans="1:7" x14ac:dyDescent="0.2">
      <c r="A23" s="5">
        <f>+A21+1</f>
        <v>10</v>
      </c>
      <c r="B23" s="1" t="s">
        <v>223</v>
      </c>
      <c r="C23" s="13">
        <f>SUM(D23:F23)</f>
        <v>72782165.921699837</v>
      </c>
      <c r="D23" s="13">
        <f>D19*D21</f>
        <v>2658566.1359999957</v>
      </c>
      <c r="E23" s="13">
        <f>E19*E21</f>
        <v>37777707.894776329</v>
      </c>
      <c r="F23" s="13">
        <f>F19*F21</f>
        <v>32345891.890923515</v>
      </c>
    </row>
    <row r="24" spans="1:7" x14ac:dyDescent="0.2">
      <c r="C24" s="13"/>
      <c r="D24" s="13"/>
      <c r="E24" s="13"/>
      <c r="F24" s="13"/>
    </row>
    <row r="25" spans="1:7" x14ac:dyDescent="0.2">
      <c r="A25" s="5">
        <f>+A23+1</f>
        <v>11</v>
      </c>
      <c r="B25" s="1" t="s">
        <v>224</v>
      </c>
      <c r="C25" s="15">
        <f>SUM(D25:F25)</f>
        <v>68746730.715710059</v>
      </c>
      <c r="D25" s="15">
        <f>+D10*D21</f>
        <v>2658566.1359999962</v>
      </c>
      <c r="E25" s="15">
        <f>+E10*E21</f>
        <v>35880594.50703004</v>
      </c>
      <c r="F25" s="15">
        <f>+F10*F21</f>
        <v>30207570.072680023</v>
      </c>
    </row>
    <row r="26" spans="1:7" x14ac:dyDescent="0.2">
      <c r="A26" s="5"/>
      <c r="C26" s="13"/>
      <c r="D26" s="13"/>
      <c r="E26" s="13"/>
      <c r="F26" s="13"/>
    </row>
    <row r="27" spans="1:7" ht="15.75" thickBot="1" x14ac:dyDescent="0.25">
      <c r="A27" s="5">
        <f>+A25+1</f>
        <v>12</v>
      </c>
      <c r="B27" s="1" t="s">
        <v>214</v>
      </c>
      <c r="C27" s="422">
        <f>C23-C25</f>
        <v>4035435.205989778</v>
      </c>
      <c r="D27" s="213">
        <f>D23-D25</f>
        <v>0</v>
      </c>
      <c r="E27" s="213">
        <f>E23-E25</f>
        <v>1897113.3877462894</v>
      </c>
      <c r="F27" s="213">
        <f>F23-F25</f>
        <v>2138321.8182434924</v>
      </c>
    </row>
    <row r="28" spans="1:7" ht="15.75" thickTop="1" x14ac:dyDescent="0.2"/>
    <row r="29" spans="1:7" x14ac:dyDescent="0.2">
      <c r="A29" s="5">
        <f>+A27+1</f>
        <v>13</v>
      </c>
      <c r="B29" s="1" t="s">
        <v>215</v>
      </c>
      <c r="C29" s="164">
        <f>+'KTW-3 p4 - Factors'!D18</f>
        <v>0.100274</v>
      </c>
      <c r="D29" s="9"/>
      <c r="E29" s="9"/>
      <c r="F29" s="214"/>
    </row>
    <row r="30" spans="1:7" x14ac:dyDescent="0.2">
      <c r="A30" s="5"/>
      <c r="C30" s="9"/>
      <c r="D30" s="9"/>
      <c r="E30" s="215"/>
      <c r="F30" s="9"/>
    </row>
    <row r="31" spans="1:7" ht="15.75" thickBot="1" x14ac:dyDescent="0.25">
      <c r="A31" s="5">
        <f>+A29+1</f>
        <v>14</v>
      </c>
      <c r="B31" s="1" t="s">
        <v>216</v>
      </c>
      <c r="C31" s="18">
        <f>C27*C29</f>
        <v>404649.229845419</v>
      </c>
      <c r="D31" s="29"/>
      <c r="E31" s="215"/>
      <c r="F31" s="215"/>
    </row>
    <row r="32" spans="1:7" ht="15.75" thickTop="1" x14ac:dyDescent="0.2">
      <c r="A32" s="5"/>
    </row>
    <row r="33" spans="1:15" x14ac:dyDescent="0.2">
      <c r="A33" s="5"/>
      <c r="C33" s="448"/>
    </row>
    <row r="34" spans="1:15" x14ac:dyDescent="0.2">
      <c r="A34" s="1" t="s">
        <v>228</v>
      </c>
      <c r="C34" s="1"/>
      <c r="O34" s="63"/>
    </row>
    <row r="35" spans="1:15" x14ac:dyDescent="0.2">
      <c r="B35" s="3" t="s">
        <v>542</v>
      </c>
      <c r="C35" s="270">
        <f>3.5%+0.015</f>
        <v>0.05</v>
      </c>
      <c r="D35" s="20"/>
      <c r="E35" s="20"/>
      <c r="F35" s="20"/>
    </row>
    <row r="36" spans="1:15" x14ac:dyDescent="0.2">
      <c r="B36" s="1" t="s">
        <v>543</v>
      </c>
      <c r="C36" s="270">
        <f>2%+0.008</f>
        <v>2.8000000000000001E-2</v>
      </c>
      <c r="D36" s="20"/>
      <c r="E36" s="20"/>
      <c r="F36" s="20"/>
    </row>
    <row r="37" spans="1:15" x14ac:dyDescent="0.2">
      <c r="B37" s="267" t="s">
        <v>546</v>
      </c>
      <c r="C37" s="270">
        <f>3.5%+0.008</f>
        <v>4.3000000000000003E-2</v>
      </c>
      <c r="D37" s="404"/>
      <c r="E37" s="20"/>
      <c r="F37" s="20"/>
    </row>
    <row r="38" spans="1:15" x14ac:dyDescent="0.2">
      <c r="B38" s="267" t="s">
        <v>547</v>
      </c>
      <c r="C38" s="270">
        <v>0.04</v>
      </c>
      <c r="D38" s="20"/>
      <c r="E38" s="20"/>
      <c r="F38" s="20"/>
    </row>
    <row r="39" spans="1:15" x14ac:dyDescent="0.2">
      <c r="B39" s="267" t="s">
        <v>548</v>
      </c>
      <c r="C39" s="270">
        <f>3%+0.006</f>
        <v>3.5999999999999997E-2</v>
      </c>
      <c r="F39" s="171"/>
    </row>
    <row r="40" spans="1:15" x14ac:dyDescent="0.2">
      <c r="B40" s="267"/>
      <c r="C40" s="270"/>
      <c r="E40" s="216"/>
      <c r="F40" s="171"/>
    </row>
    <row r="41" spans="1:15" x14ac:dyDescent="0.2">
      <c r="A41" s="5" t="s">
        <v>225</v>
      </c>
      <c r="B41" s="1" t="s">
        <v>231</v>
      </c>
      <c r="F41" s="171"/>
    </row>
    <row r="42" spans="1:15" x14ac:dyDescent="0.2">
      <c r="A42" s="5" t="s">
        <v>229</v>
      </c>
      <c r="B42" s="3" t="s">
        <v>587</v>
      </c>
    </row>
    <row r="43" spans="1:15" x14ac:dyDescent="0.2">
      <c r="A43" s="5" t="s">
        <v>230</v>
      </c>
      <c r="B43" s="156" t="s">
        <v>538</v>
      </c>
      <c r="C43" s="171"/>
      <c r="D43" s="171"/>
      <c r="E43" s="171"/>
    </row>
    <row r="46" spans="1:15" x14ac:dyDescent="0.2">
      <c r="A46" s="8"/>
      <c r="B46" s="8"/>
    </row>
    <row r="47" spans="1:15" x14ac:dyDescent="0.2">
      <c r="A47" s="8"/>
      <c r="B47" s="8"/>
    </row>
    <row r="48" spans="1:15" x14ac:dyDescent="0.2">
      <c r="A48" s="8"/>
      <c r="B48" s="8"/>
    </row>
    <row r="49" spans="1:2" x14ac:dyDescent="0.2">
      <c r="A49" s="8"/>
      <c r="B49" s="8"/>
    </row>
    <row r="50" spans="1:2" x14ac:dyDescent="0.2">
      <c r="A50" s="8"/>
      <c r="B50" s="8"/>
    </row>
    <row r="51" spans="1:2" x14ac:dyDescent="0.2">
      <c r="A51" s="8"/>
      <c r="B51" s="8"/>
    </row>
    <row r="52" spans="1:2" x14ac:dyDescent="0.2">
      <c r="A52" s="8"/>
      <c r="B52" s="8"/>
    </row>
    <row r="53" spans="1:2" x14ac:dyDescent="0.2">
      <c r="A53" s="8"/>
      <c r="B53" s="8"/>
    </row>
    <row r="54" spans="1:2" x14ac:dyDescent="0.2">
      <c r="A54" s="8"/>
      <c r="B54" s="8"/>
    </row>
    <row r="55" spans="1:2" x14ac:dyDescent="0.2">
      <c r="A55" s="8"/>
      <c r="B55" s="8"/>
    </row>
    <row r="56" spans="1:2" x14ac:dyDescent="0.2">
      <c r="A56" s="8"/>
      <c r="B56" s="8"/>
    </row>
    <row r="57" spans="1:2" x14ac:dyDescent="0.2">
      <c r="A57" s="8"/>
      <c r="B57" s="8"/>
    </row>
    <row r="58" spans="1:2" x14ac:dyDescent="0.2">
      <c r="A58" s="8"/>
      <c r="B58" s="8"/>
    </row>
    <row r="59" spans="1:2" x14ac:dyDescent="0.2">
      <c r="A59" s="8"/>
      <c r="B59" s="8"/>
    </row>
    <row r="60" spans="1:2" x14ac:dyDescent="0.2">
      <c r="A60" s="8"/>
      <c r="B60" s="8"/>
    </row>
    <row r="61" spans="1:2" x14ac:dyDescent="0.2">
      <c r="A61" s="8"/>
      <c r="B61" s="8"/>
    </row>
    <row r="62" spans="1:2" x14ac:dyDescent="0.2">
      <c r="A62" s="8"/>
      <c r="B62" s="8"/>
    </row>
    <row r="63" spans="1:2" x14ac:dyDescent="0.2">
      <c r="A63" s="8"/>
      <c r="B63" s="8"/>
    </row>
    <row r="64" spans="1:2" x14ac:dyDescent="0.2">
      <c r="A64" s="8"/>
      <c r="B64" s="8"/>
    </row>
    <row r="65" spans="1:13" x14ac:dyDescent="0.2">
      <c r="A65" s="8"/>
      <c r="B65" s="8"/>
    </row>
    <row r="66" spans="1:13" x14ac:dyDescent="0.2">
      <c r="A66" s="8"/>
      <c r="B66" s="8"/>
    </row>
    <row r="67" spans="1:13" x14ac:dyDescent="0.2">
      <c r="A67" s="8"/>
      <c r="B67" s="8"/>
    </row>
    <row r="68" spans="1:13" x14ac:dyDescent="0.2">
      <c r="A68" s="8"/>
      <c r="B68" s="8"/>
      <c r="I68" s="65"/>
      <c r="J68" s="168"/>
    </row>
    <row r="69" spans="1:13" x14ac:dyDescent="0.2">
      <c r="A69" s="8"/>
      <c r="B69" s="8"/>
      <c r="I69" s="65"/>
      <c r="J69" s="168"/>
    </row>
    <row r="70" spans="1:13" x14ac:dyDescent="0.2">
      <c r="A70" s="8"/>
      <c r="B70" s="8"/>
      <c r="I70" s="65"/>
      <c r="J70" s="168"/>
    </row>
    <row r="71" spans="1:13" x14ac:dyDescent="0.25">
      <c r="A71" s="8"/>
      <c r="B71" s="8"/>
      <c r="I71" s="65"/>
      <c r="J71" s="168"/>
      <c r="M71" s="26"/>
    </row>
    <row r="72" spans="1:13" x14ac:dyDescent="0.25">
      <c r="A72" s="8"/>
      <c r="B72" s="8"/>
      <c r="I72" s="65"/>
      <c r="J72" s="168"/>
      <c r="M72" s="26"/>
    </row>
    <row r="73" spans="1:13" x14ac:dyDescent="0.25">
      <c r="A73" s="8"/>
      <c r="B73" s="8"/>
      <c r="I73" s="65"/>
      <c r="J73" s="168"/>
      <c r="M73" s="26"/>
    </row>
    <row r="74" spans="1:13" x14ac:dyDescent="0.25">
      <c r="A74" s="8"/>
      <c r="B74" s="8"/>
      <c r="I74" s="65"/>
      <c r="J74" s="168"/>
      <c r="M74" s="26"/>
    </row>
    <row r="75" spans="1:13" x14ac:dyDescent="0.25">
      <c r="A75" s="8"/>
      <c r="B75" s="8"/>
      <c r="I75" s="65"/>
      <c r="J75" s="168"/>
      <c r="M75" s="26"/>
    </row>
    <row r="76" spans="1:13" x14ac:dyDescent="0.25">
      <c r="A76" s="8"/>
      <c r="B76" s="8"/>
      <c r="I76" s="65"/>
      <c r="J76" s="168"/>
      <c r="M76" s="26"/>
    </row>
    <row r="77" spans="1:13" x14ac:dyDescent="0.25">
      <c r="A77" s="8"/>
      <c r="B77" s="8"/>
      <c r="I77" s="65"/>
      <c r="J77" s="168"/>
      <c r="M77" s="26"/>
    </row>
    <row r="78" spans="1:13" x14ac:dyDescent="0.25">
      <c r="A78" s="8"/>
      <c r="B78" s="8"/>
      <c r="I78" s="65"/>
      <c r="J78" s="168"/>
      <c r="M78" s="26"/>
    </row>
    <row r="79" spans="1:13" x14ac:dyDescent="0.25">
      <c r="A79" s="8"/>
      <c r="B79" s="8"/>
      <c r="I79" s="65"/>
      <c r="J79" s="168"/>
      <c r="M79" s="26"/>
    </row>
    <row r="80" spans="1:13" x14ac:dyDescent="0.25">
      <c r="A80" s="8"/>
      <c r="B80" s="8"/>
      <c r="M80" s="26"/>
    </row>
    <row r="81" spans="1:13" x14ac:dyDescent="0.25">
      <c r="A81" s="8"/>
      <c r="B81" s="8"/>
      <c r="M81" s="26"/>
    </row>
    <row r="82" spans="1:13" x14ac:dyDescent="0.2">
      <c r="A82" s="8"/>
      <c r="B82" s="8"/>
    </row>
    <row r="83" spans="1:13" x14ac:dyDescent="0.2">
      <c r="A83" s="8"/>
      <c r="B83" s="8"/>
    </row>
    <row r="84" spans="1:13" x14ac:dyDescent="0.2">
      <c r="A84" s="8"/>
      <c r="B84" s="8"/>
    </row>
    <row r="85" spans="1:13" x14ac:dyDescent="0.2">
      <c r="A85" s="8"/>
      <c r="B85" s="8"/>
    </row>
    <row r="86" spans="1:13" x14ac:dyDescent="0.2">
      <c r="A86" s="8"/>
      <c r="B86" s="8"/>
    </row>
    <row r="87" spans="1:13" x14ac:dyDescent="0.2">
      <c r="A87" s="8"/>
      <c r="B87" s="8"/>
    </row>
    <row r="88" spans="1:13" x14ac:dyDescent="0.2">
      <c r="A88" s="8"/>
      <c r="B88" s="8"/>
    </row>
    <row r="89" spans="1:13" x14ac:dyDescent="0.2">
      <c r="A89" s="8"/>
      <c r="B89" s="8"/>
    </row>
    <row r="90" spans="1:13" x14ac:dyDescent="0.2">
      <c r="A90" s="8"/>
      <c r="B90" s="8"/>
    </row>
    <row r="91" spans="1:13" x14ac:dyDescent="0.2">
      <c r="A91" s="8"/>
      <c r="B91" s="8"/>
    </row>
    <row r="92" spans="1:13" x14ac:dyDescent="0.2">
      <c r="A92" s="8"/>
      <c r="B92" s="8"/>
    </row>
    <row r="93" spans="1:13" x14ac:dyDescent="0.2">
      <c r="A93" s="8"/>
      <c r="B93" s="8"/>
    </row>
    <row r="94" spans="1:13" x14ac:dyDescent="0.2">
      <c r="A94" s="8"/>
      <c r="B94" s="8"/>
    </row>
    <row r="95" spans="1:13" x14ac:dyDescent="0.2">
      <c r="A95" s="8"/>
      <c r="B95" s="8"/>
    </row>
    <row r="96" spans="1:13" x14ac:dyDescent="0.2">
      <c r="A96" s="8"/>
      <c r="B96" s="8"/>
    </row>
    <row r="97" spans="1:3" x14ac:dyDescent="0.2">
      <c r="A97" s="8"/>
      <c r="B97" s="8"/>
    </row>
    <row r="98" spans="1:3" x14ac:dyDescent="0.2">
      <c r="A98" s="8"/>
      <c r="B98" s="8"/>
    </row>
    <row r="99" spans="1:3" x14ac:dyDescent="0.2">
      <c r="A99" s="8"/>
      <c r="B99" s="8"/>
    </row>
    <row r="100" spans="1:3" x14ac:dyDescent="0.2">
      <c r="A100" s="8"/>
      <c r="B100" s="8"/>
    </row>
    <row r="101" spans="1:3" x14ac:dyDescent="0.2">
      <c r="C101" s="24"/>
    </row>
  </sheetData>
  <customSheetViews>
    <customSheetView guid="{A7BD13BF-7E57-44D7-9B02-43E2FA430390}" showPageBreaks="1" fitToPage="1" printArea="1" topLeftCell="A4">
      <selection activeCell="H32" sqref="H32"/>
      <rowBreaks count="1" manualBreakCount="1">
        <brk id="49" max="7" man="1"/>
      </rowBreaks>
      <pageMargins left="0.5" right="0.5" top="0.5" bottom="0.5" header="0.25" footer="0.25"/>
      <printOptions horizontalCentered="1"/>
      <pageSetup scale="85" orientation="landscape" r:id="rId1"/>
      <headerFooter alignWithMargins="0"/>
    </customSheetView>
    <customSheetView guid="{C29552AC-6B79-447F-B962-713ED43BDF1A}" showPageBreaks="1" fitToPage="1" printArea="1" topLeftCell="A16">
      <selection activeCell="C39" sqref="C39"/>
      <rowBreaks count="1" manualBreakCount="1">
        <brk id="50" max="7" man="1"/>
      </rowBreaks>
      <pageMargins left="0.5" right="0.5" top="0.5" bottom="0.5" header="0.25" footer="0.25"/>
      <printOptions horizontalCentered="1"/>
      <pageSetup scale="86" orientation="landscape" r:id="rId2"/>
      <headerFooter alignWithMargins="0"/>
    </customSheetView>
    <customSheetView guid="{6ED201AA-AB2E-4FE7-B06B-B07932512C4D}" showPageBreaks="1" fitToPage="1" printArea="1">
      <selection activeCell="F35" sqref="F35"/>
      <rowBreaks count="1" manualBreakCount="1">
        <brk id="50" max="7" man="1"/>
      </rowBreaks>
      <pageMargins left="0.5" right="0.5" top="0.5" bottom="0.5" header="0.25" footer="0.25"/>
      <printOptions horizontalCentered="1"/>
      <pageSetup scale="85" orientation="landscape" r:id="rId3"/>
      <headerFooter alignWithMargins="0"/>
    </customSheetView>
    <customSheetView guid="{D711E10B-9441-4991-A2CB-ED400E35790D}" fitToPage="1">
      <selection activeCell="B43" sqref="B43"/>
      <rowBreaks count="1" manualBreakCount="1">
        <brk id="49" max="7" man="1"/>
      </rowBreaks>
      <pageMargins left="0.5" right="0.5" top="0.5" bottom="0.5" header="0.25" footer="0.25"/>
      <printOptions horizontalCentered="1"/>
      <pageSetup scale="85" orientation="landscape" r:id="rId4"/>
      <headerFooter alignWithMargins="0"/>
    </customSheetView>
  </customSheetViews>
  <phoneticPr fontId="5" type="noConversion"/>
  <printOptions horizontalCentered="1"/>
  <pageMargins left="0.5" right="0.5" top="0.5" bottom="0.5" header="0.25" footer="0.25"/>
  <pageSetup scale="90" orientation="landscape" r:id="rId5"/>
  <headerFooter alignWithMargins="0"/>
  <rowBreaks count="1" manualBreakCount="1">
    <brk id="49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>
    <tabColor theme="9" tint="0.59999389629810485"/>
    <pageSetUpPr fitToPage="1"/>
  </sheetPr>
  <dimension ref="A1:O52"/>
  <sheetViews>
    <sheetView zoomScaleNormal="95" workbookViewId="0">
      <selection activeCell="K18" sqref="K18"/>
    </sheetView>
  </sheetViews>
  <sheetFormatPr defaultColWidth="9.140625" defaultRowHeight="15" x14ac:dyDescent="0.2"/>
  <cols>
    <col min="1" max="1" width="5.7109375" style="8" customWidth="1"/>
    <col min="2" max="2" width="43.42578125" style="8" bestFit="1" customWidth="1"/>
    <col min="3" max="6" width="15.7109375" style="8" customWidth="1"/>
    <col min="7" max="11" width="9.140625" style="8"/>
    <col min="12" max="12" width="35" style="8" bestFit="1" customWidth="1"/>
    <col min="13" max="15" width="12" style="8" customWidth="1"/>
    <col min="16" max="16384" width="9.140625" style="8"/>
  </cols>
  <sheetData>
    <row r="1" spans="1:15" x14ac:dyDescent="0.2">
      <c r="A1" s="1" t="s">
        <v>1</v>
      </c>
      <c r="B1" s="1"/>
      <c r="E1" s="384" t="s">
        <v>594</v>
      </c>
    </row>
    <row r="2" spans="1:15" x14ac:dyDescent="0.2">
      <c r="A2" s="1" t="str">
        <f>+'KTW-5 p3 - Payroll 1'!A2</f>
        <v>Test Year Based on Twelve Months Ended September 30, 2020</v>
      </c>
      <c r="B2" s="1"/>
      <c r="E2" s="384" t="s">
        <v>591</v>
      </c>
    </row>
    <row r="3" spans="1:15" x14ac:dyDescent="0.2">
      <c r="A3" s="3" t="s">
        <v>227</v>
      </c>
      <c r="B3" s="1"/>
    </row>
    <row r="4" spans="1:15" x14ac:dyDescent="0.2">
      <c r="A4" s="1" t="s">
        <v>210</v>
      </c>
      <c r="B4" s="1"/>
      <c r="C4" s="1"/>
      <c r="D4" s="173"/>
    </row>
    <row r="5" spans="1:15" x14ac:dyDescent="0.2">
      <c r="A5" s="1"/>
      <c r="B5" s="1"/>
      <c r="C5" s="1"/>
      <c r="D5" s="173"/>
      <c r="E5" s="205"/>
    </row>
    <row r="6" spans="1:15" x14ac:dyDescent="0.2">
      <c r="A6" s="5" t="s">
        <v>15</v>
      </c>
      <c r="B6" s="1"/>
      <c r="C6" s="1"/>
      <c r="D6" s="173"/>
      <c r="E6" s="205"/>
    </row>
    <row r="7" spans="1:15" x14ac:dyDescent="0.2">
      <c r="A7" s="7" t="s">
        <v>212</v>
      </c>
      <c r="B7" s="1"/>
      <c r="C7" s="7" t="s">
        <v>211</v>
      </c>
      <c r="D7" s="7" t="s">
        <v>284</v>
      </c>
      <c r="E7" s="209" t="s">
        <v>285</v>
      </c>
      <c r="H7" s="263"/>
    </row>
    <row r="8" spans="1:15" x14ac:dyDescent="0.2">
      <c r="A8" s="5"/>
      <c r="B8" s="1"/>
      <c r="C8" s="204" t="s">
        <v>55</v>
      </c>
      <c r="D8" s="204" t="s">
        <v>56</v>
      </c>
      <c r="E8" s="5" t="s">
        <v>57</v>
      </c>
    </row>
    <row r="9" spans="1:15" x14ac:dyDescent="0.2">
      <c r="A9" s="5"/>
      <c r="B9" s="1"/>
      <c r="E9" s="171"/>
    </row>
    <row r="10" spans="1:15" x14ac:dyDescent="0.2">
      <c r="A10" s="5">
        <v>1</v>
      </c>
      <c r="B10" s="1" t="s">
        <v>423</v>
      </c>
      <c r="C10" s="152">
        <f>C34</f>
        <v>12.5</v>
      </c>
      <c r="D10" s="152">
        <f>D34</f>
        <v>530.48333333333346</v>
      </c>
      <c r="E10" s="152">
        <f>E34</f>
        <v>621.48124999999993</v>
      </c>
      <c r="F10" s="152"/>
      <c r="K10" s="29"/>
      <c r="L10" s="29"/>
      <c r="M10" s="29"/>
    </row>
    <row r="11" spans="1:15" x14ac:dyDescent="0.2">
      <c r="A11" s="5"/>
      <c r="B11" s="1"/>
      <c r="C11" s="302"/>
      <c r="D11" s="302"/>
      <c r="E11" s="303"/>
      <c r="F11" s="152"/>
      <c r="K11" s="1"/>
    </row>
    <row r="12" spans="1:15" x14ac:dyDescent="0.2">
      <c r="A12" s="5">
        <v>3</v>
      </c>
      <c r="B12" s="1" t="s">
        <v>635</v>
      </c>
      <c r="C12" s="418">
        <v>3852994.3999999948</v>
      </c>
      <c r="D12" s="418">
        <v>57593249.610000059</v>
      </c>
      <c r="E12" s="418">
        <v>52810437.190000042</v>
      </c>
      <c r="K12" s="1"/>
      <c r="L12" s="1"/>
      <c r="M12" s="260"/>
      <c r="N12" s="330"/>
    </row>
    <row r="13" spans="1:15" x14ac:dyDescent="0.2">
      <c r="A13" s="5"/>
      <c r="B13" s="1"/>
      <c r="C13" s="11"/>
      <c r="D13" s="11"/>
      <c r="E13" s="217"/>
      <c r="K13" s="1"/>
      <c r="L13" s="1"/>
      <c r="M13" s="260"/>
      <c r="N13" s="330"/>
    </row>
    <row r="14" spans="1:15" x14ac:dyDescent="0.2">
      <c r="A14" s="5">
        <v>4</v>
      </c>
      <c r="B14" s="1" t="s">
        <v>213</v>
      </c>
      <c r="C14" s="11"/>
      <c r="D14" s="11"/>
      <c r="E14" s="11"/>
      <c r="K14" s="1"/>
      <c r="L14" s="1"/>
      <c r="M14" s="52"/>
      <c r="N14" s="330"/>
    </row>
    <row r="15" spans="1:15" x14ac:dyDescent="0.2">
      <c r="A15" s="5"/>
      <c r="B15" s="1" t="s">
        <v>424</v>
      </c>
      <c r="C15" s="11">
        <f>C12/C10</f>
        <v>308239.55199999956</v>
      </c>
      <c r="D15" s="11">
        <f>D12/D10</f>
        <v>108567.50060008177</v>
      </c>
      <c r="E15" s="11">
        <f>E12/E10</f>
        <v>84975.109369751779</v>
      </c>
      <c r="K15" s="1"/>
      <c r="L15" s="1"/>
    </row>
    <row r="16" spans="1:15" x14ac:dyDescent="0.2">
      <c r="A16" s="5"/>
      <c r="B16" s="1"/>
      <c r="C16" s="11"/>
      <c r="D16" s="11"/>
      <c r="E16" s="217"/>
      <c r="K16" s="1"/>
      <c r="L16" s="1"/>
      <c r="O16" s="1"/>
    </row>
    <row r="17" spans="1:15" ht="15.75" thickBot="1" x14ac:dyDescent="0.25">
      <c r="A17" s="5">
        <v>5</v>
      </c>
      <c r="B17" s="1" t="s">
        <v>537</v>
      </c>
      <c r="C17" s="423">
        <f>C10*C15</f>
        <v>3852994.3999999943</v>
      </c>
      <c r="D17" s="423">
        <f>D10*D15</f>
        <v>57593249.610000059</v>
      </c>
      <c r="E17" s="424">
        <f>E10*E15</f>
        <v>52810437.190000042</v>
      </c>
      <c r="O17" s="331"/>
    </row>
    <row r="18" spans="1:15" ht="15.75" thickTop="1" x14ac:dyDescent="0.2">
      <c r="A18" s="5"/>
      <c r="B18" s="1" t="s">
        <v>425</v>
      </c>
      <c r="D18" s="171"/>
    </row>
    <row r="19" spans="1:15" x14ac:dyDescent="0.2">
      <c r="A19" s="1"/>
      <c r="B19" s="1"/>
      <c r="D19" s="171"/>
    </row>
    <row r="20" spans="1:15" x14ac:dyDescent="0.2">
      <c r="A20" s="1"/>
      <c r="B20" s="1"/>
    </row>
    <row r="21" spans="1:15" x14ac:dyDescent="0.2">
      <c r="A21" s="272"/>
      <c r="B21" s="264"/>
      <c r="C21" s="7" t="s">
        <v>211</v>
      </c>
      <c r="D21" s="7" t="s">
        <v>284</v>
      </c>
      <c r="E21" s="209" t="s">
        <v>285</v>
      </c>
    </row>
    <row r="22" spans="1:15" x14ac:dyDescent="0.2">
      <c r="A22" s="218">
        <v>2019</v>
      </c>
      <c r="B22" s="1" t="s">
        <v>274</v>
      </c>
      <c r="C22" s="219">
        <v>11</v>
      </c>
      <c r="D22" s="219">
        <v>518.6</v>
      </c>
      <c r="E22" s="219">
        <v>633.4</v>
      </c>
      <c r="F22" s="219"/>
    </row>
    <row r="23" spans="1:15" x14ac:dyDescent="0.2">
      <c r="A23" s="218">
        <v>2019</v>
      </c>
      <c r="B23" s="1" t="s">
        <v>275</v>
      </c>
      <c r="C23" s="219">
        <v>11</v>
      </c>
      <c r="D23" s="219">
        <v>521.6</v>
      </c>
      <c r="E23" s="219">
        <v>624.4</v>
      </c>
      <c r="F23" s="219"/>
    </row>
    <row r="24" spans="1:15" x14ac:dyDescent="0.2">
      <c r="A24" s="218">
        <v>2019</v>
      </c>
      <c r="B24" s="1" t="s">
        <v>276</v>
      </c>
      <c r="C24" s="219">
        <v>11</v>
      </c>
      <c r="D24" s="219">
        <v>528.6</v>
      </c>
      <c r="E24" s="219">
        <v>623.4</v>
      </c>
      <c r="F24" s="219"/>
    </row>
    <row r="25" spans="1:15" x14ac:dyDescent="0.2">
      <c r="A25" s="218">
        <v>2020</v>
      </c>
      <c r="B25" s="1" t="s">
        <v>266</v>
      </c>
      <c r="C25" s="219">
        <v>13</v>
      </c>
      <c r="D25" s="219">
        <v>524.6</v>
      </c>
      <c r="E25" s="219">
        <v>631.4</v>
      </c>
      <c r="F25" s="219"/>
    </row>
    <row r="26" spans="1:15" x14ac:dyDescent="0.2">
      <c r="A26" s="218">
        <v>2020</v>
      </c>
      <c r="B26" s="1" t="s">
        <v>267</v>
      </c>
      <c r="C26" s="219">
        <v>13</v>
      </c>
      <c r="D26" s="219">
        <v>525.6</v>
      </c>
      <c r="E26" s="219">
        <v>631.4</v>
      </c>
      <c r="F26" s="219"/>
    </row>
    <row r="27" spans="1:15" x14ac:dyDescent="0.2">
      <c r="A27" s="218">
        <v>2020</v>
      </c>
      <c r="B27" s="1" t="s">
        <v>268</v>
      </c>
      <c r="C27" s="219">
        <v>13</v>
      </c>
      <c r="D27" s="219">
        <v>531.79999999999995</v>
      </c>
      <c r="E27" s="219">
        <v>631.4</v>
      </c>
      <c r="F27" s="219"/>
    </row>
    <row r="28" spans="1:15" x14ac:dyDescent="0.2">
      <c r="A28" s="218">
        <v>2020</v>
      </c>
      <c r="B28" s="1" t="s">
        <v>269</v>
      </c>
      <c r="C28" s="219">
        <v>13</v>
      </c>
      <c r="D28" s="219">
        <v>533.79999999999995</v>
      </c>
      <c r="E28" s="219">
        <v>625.4</v>
      </c>
      <c r="F28" s="219"/>
    </row>
    <row r="29" spans="1:15" x14ac:dyDescent="0.2">
      <c r="A29" s="218">
        <v>2020</v>
      </c>
      <c r="B29" s="1" t="s">
        <v>18</v>
      </c>
      <c r="C29" s="219">
        <v>13</v>
      </c>
      <c r="D29" s="219">
        <v>531.80000000000007</v>
      </c>
      <c r="E29" s="219">
        <v>617.375</v>
      </c>
      <c r="F29" s="219"/>
    </row>
    <row r="30" spans="1:15" x14ac:dyDescent="0.2">
      <c r="A30" s="218">
        <v>2020</v>
      </c>
      <c r="B30" s="1" t="s">
        <v>270</v>
      </c>
      <c r="C30" s="219">
        <v>13</v>
      </c>
      <c r="D30" s="219">
        <v>533.79999999999995</v>
      </c>
      <c r="E30" s="219">
        <v>612.4</v>
      </c>
      <c r="F30" s="219"/>
    </row>
    <row r="31" spans="1:15" x14ac:dyDescent="0.2">
      <c r="A31" s="218">
        <v>2020</v>
      </c>
      <c r="B31" s="1" t="s">
        <v>271</v>
      </c>
      <c r="C31" s="219">
        <v>13</v>
      </c>
      <c r="D31" s="219">
        <v>541.79999999999995</v>
      </c>
      <c r="E31" s="219">
        <v>607.4</v>
      </c>
      <c r="F31" s="219"/>
    </row>
    <row r="32" spans="1:15" x14ac:dyDescent="0.2">
      <c r="A32" s="218">
        <v>2020</v>
      </c>
      <c r="B32" s="1" t="s">
        <v>272</v>
      </c>
      <c r="C32" s="219">
        <v>13</v>
      </c>
      <c r="D32" s="219">
        <v>535.79999999999995</v>
      </c>
      <c r="E32" s="219">
        <v>613.4</v>
      </c>
      <c r="F32" s="219"/>
    </row>
    <row r="33" spans="1:6" s="20" customFormat="1" x14ac:dyDescent="0.2">
      <c r="A33" s="218">
        <v>2020</v>
      </c>
      <c r="B33" s="43" t="s">
        <v>273</v>
      </c>
      <c r="C33" s="417">
        <v>13</v>
      </c>
      <c r="D33" s="417">
        <v>538</v>
      </c>
      <c r="E33" s="417">
        <v>606.4</v>
      </c>
      <c r="F33" s="266"/>
    </row>
    <row r="34" spans="1:6" s="20" customFormat="1" x14ac:dyDescent="0.2">
      <c r="A34" s="43"/>
      <c r="B34" s="43" t="s">
        <v>75</v>
      </c>
      <c r="C34" s="220">
        <f>AVERAGE(C22:C33)</f>
        <v>12.5</v>
      </c>
      <c r="D34" s="220">
        <f>AVERAGE(D22:D33)</f>
        <v>530.48333333333346</v>
      </c>
      <c r="E34" s="220">
        <f>AVERAGE(E22:E33)</f>
        <v>621.48124999999993</v>
      </c>
      <c r="F34" s="220"/>
    </row>
    <row r="35" spans="1:6" s="20" customFormat="1" x14ac:dyDescent="0.2">
      <c r="A35" s="43"/>
      <c r="B35" s="43"/>
    </row>
    <row r="36" spans="1:6" x14ac:dyDescent="0.2">
      <c r="A36" s="259"/>
      <c r="B36" s="24"/>
    </row>
    <row r="37" spans="1:6" x14ac:dyDescent="0.2">
      <c r="A37" s="259"/>
      <c r="B37" s="24"/>
    </row>
    <row r="38" spans="1:6" x14ac:dyDescent="0.2">
      <c r="A38" s="1"/>
      <c r="B38" s="332"/>
      <c r="C38" s="328"/>
      <c r="D38" s="328"/>
    </row>
    <row r="39" spans="1:6" x14ac:dyDescent="0.2">
      <c r="A39" s="1"/>
      <c r="B39" s="332"/>
      <c r="C39" s="328"/>
      <c r="D39" s="328"/>
    </row>
    <row r="40" spans="1:6" x14ac:dyDescent="0.2">
      <c r="A40" s="218"/>
      <c r="B40" s="43"/>
      <c r="C40" s="333"/>
      <c r="D40" s="333"/>
    </row>
    <row r="41" spans="1:6" x14ac:dyDescent="0.2">
      <c r="A41" s="218"/>
      <c r="B41" s="43"/>
      <c r="C41" s="333"/>
      <c r="D41" s="333"/>
    </row>
    <row r="42" spans="1:6" x14ac:dyDescent="0.2">
      <c r="A42" s="218"/>
      <c r="B42" s="43"/>
      <c r="C42" s="333"/>
      <c r="D42" s="333"/>
    </row>
    <row r="43" spans="1:6" x14ac:dyDescent="0.2">
      <c r="A43" s="218"/>
      <c r="B43" s="43"/>
      <c r="C43" s="333"/>
      <c r="D43" s="333"/>
    </row>
    <row r="44" spans="1:6" x14ac:dyDescent="0.2">
      <c r="A44" s="218"/>
      <c r="B44" s="43"/>
      <c r="C44" s="333"/>
      <c r="D44" s="333"/>
    </row>
    <row r="45" spans="1:6" x14ac:dyDescent="0.2">
      <c r="A45" s="218"/>
      <c r="B45" s="43"/>
      <c r="C45" s="333"/>
      <c r="D45" s="333"/>
    </row>
    <row r="46" spans="1:6" x14ac:dyDescent="0.2">
      <c r="A46" s="218"/>
      <c r="B46" s="43"/>
      <c r="C46" s="333"/>
      <c r="D46" s="333"/>
    </row>
    <row r="47" spans="1:6" x14ac:dyDescent="0.2">
      <c r="A47" s="218"/>
      <c r="B47" s="43"/>
      <c r="C47" s="333"/>
      <c r="D47" s="333"/>
    </row>
    <row r="48" spans="1:6" x14ac:dyDescent="0.2">
      <c r="A48" s="218"/>
      <c r="B48" s="43"/>
      <c r="C48" s="333"/>
      <c r="D48" s="333"/>
    </row>
    <row r="49" spans="1:4" x14ac:dyDescent="0.2">
      <c r="A49" s="218"/>
      <c r="B49" s="43"/>
      <c r="C49" s="333"/>
      <c r="D49" s="333"/>
    </row>
    <row r="50" spans="1:4" x14ac:dyDescent="0.2">
      <c r="A50" s="218"/>
      <c r="B50" s="43"/>
      <c r="C50" s="333"/>
      <c r="D50" s="333"/>
    </row>
    <row r="51" spans="1:4" x14ac:dyDescent="0.2">
      <c r="A51" s="218"/>
      <c r="B51" s="43"/>
      <c r="C51" s="333"/>
      <c r="D51" s="333"/>
    </row>
    <row r="52" spans="1:4" x14ac:dyDescent="0.2">
      <c r="B52" s="20"/>
      <c r="C52" s="220"/>
      <c r="D52" s="220"/>
    </row>
  </sheetData>
  <customSheetViews>
    <customSheetView guid="{A7BD13BF-7E57-44D7-9B02-43E2FA430390}" showPageBreaks="1" fitToPage="1" printArea="1">
      <selection activeCell="D12" sqref="D12"/>
      <pageMargins left="0.75" right="0.75" top="0.7" bottom="0.66" header="0.5" footer="0.5"/>
      <printOptions horizontalCentered="1"/>
      <pageSetup scale="92" orientation="landscape" r:id="rId1"/>
      <headerFooter alignWithMargins="0"/>
    </customSheetView>
    <customSheetView guid="{C29552AC-6B79-447F-B962-713ED43BDF1A}" showPageBreaks="1" fitToPage="1" printArea="1">
      <selection activeCell="C26" sqref="C26:E26"/>
      <pageMargins left="0.75" right="0.75" top="0.7" bottom="0.66" header="0.5" footer="0.5"/>
      <printOptions horizontalCentered="1"/>
      <pageSetup scale="94" orientation="landscape" r:id="rId2"/>
      <headerFooter alignWithMargins="0"/>
    </customSheetView>
    <customSheetView guid="{6ED201AA-AB2E-4FE7-B06B-B07932512C4D}" showPageBreaks="1" fitToPage="1" printArea="1">
      <selection activeCell="B31" sqref="B31"/>
      <pageMargins left="0.75" right="0.75" top="0.7" bottom="0.66" header="0.5" footer="0.5"/>
      <printOptions horizontalCentered="1"/>
      <pageSetup scale="92" orientation="landscape" r:id="rId3"/>
      <headerFooter alignWithMargins="0"/>
    </customSheetView>
    <customSheetView guid="{D711E10B-9441-4991-A2CB-ED400E35790D}" fitToPage="1">
      <selection activeCell="F12" sqref="F12"/>
      <pageMargins left="0.75" right="0.75" top="0.7" bottom="0.66" header="0.5" footer="0.5"/>
      <printOptions horizontalCentered="1"/>
      <pageSetup scale="92" orientation="landscape" r:id="rId4"/>
      <headerFooter alignWithMargins="0"/>
    </customSheetView>
  </customSheetViews>
  <phoneticPr fontId="5" type="noConversion"/>
  <printOptions horizontalCentered="1"/>
  <pageMargins left="0.75" right="0.75" top="0.7" bottom="0.66" header="0.5" footer="0.5"/>
  <pageSetup scale="97" orientation="landscape" r:id="rId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5">
    <tabColor theme="9" tint="0.59999389629810485"/>
    <pageSetUpPr fitToPage="1"/>
  </sheetPr>
  <dimension ref="A1:L44"/>
  <sheetViews>
    <sheetView zoomScale="90" zoomScaleNormal="90" workbookViewId="0">
      <selection activeCell="F28" sqref="F28"/>
    </sheetView>
  </sheetViews>
  <sheetFormatPr defaultColWidth="9.140625" defaultRowHeight="15" x14ac:dyDescent="0.2"/>
  <cols>
    <col min="1" max="1" width="5.7109375" style="1" customWidth="1"/>
    <col min="2" max="2" width="50.7109375" style="1" customWidth="1"/>
    <col min="3" max="5" width="14.7109375" style="8" customWidth="1"/>
    <col min="6" max="7" width="9.140625" style="8" customWidth="1"/>
    <col min="8" max="8" width="24.42578125" style="8" bestFit="1" customWidth="1"/>
    <col min="9" max="9" width="18" style="8" customWidth="1"/>
    <col min="10" max="16384" width="9.140625" style="8"/>
  </cols>
  <sheetData>
    <row r="1" spans="1:9" s="1" customFormat="1" x14ac:dyDescent="0.2">
      <c r="A1" s="1" t="s">
        <v>0</v>
      </c>
      <c r="E1" s="384" t="s">
        <v>594</v>
      </c>
    </row>
    <row r="2" spans="1:9" s="1" customFormat="1" x14ac:dyDescent="0.2">
      <c r="A2" s="1" t="str">
        <f>+'KTW-4,5,8 p1 - Adjust Issues'!A3</f>
        <v>Test Year Based on Twelve Months Ended September 30, 2020</v>
      </c>
      <c r="E2" s="384" t="s">
        <v>614</v>
      </c>
    </row>
    <row r="3" spans="1:9" s="1" customFormat="1" x14ac:dyDescent="0.2">
      <c r="A3" s="1" t="s">
        <v>217</v>
      </c>
    </row>
    <row r="4" spans="1:9" s="1" customFormat="1" x14ac:dyDescent="0.2"/>
    <row r="5" spans="1:9" s="1" customFormat="1" x14ac:dyDescent="0.2">
      <c r="C5" s="5" t="s">
        <v>7</v>
      </c>
      <c r="D5" s="5" t="s">
        <v>8</v>
      </c>
      <c r="E5" s="5" t="s">
        <v>8</v>
      </c>
    </row>
    <row r="6" spans="1:9" s="1" customFormat="1" x14ac:dyDescent="0.2">
      <c r="C6" s="5" t="s">
        <v>26</v>
      </c>
      <c r="D6" s="5" t="s">
        <v>48</v>
      </c>
      <c r="E6" s="5" t="s">
        <v>26</v>
      </c>
    </row>
    <row r="7" spans="1:9" s="1" customFormat="1" x14ac:dyDescent="0.2">
      <c r="A7" s="5" t="s">
        <v>15</v>
      </c>
      <c r="C7" s="7" t="s">
        <v>50</v>
      </c>
      <c r="D7" s="7" t="s">
        <v>219</v>
      </c>
      <c r="E7" s="7" t="s">
        <v>50</v>
      </c>
      <c r="H7" s="222"/>
    </row>
    <row r="8" spans="1:9" s="1" customFormat="1" x14ac:dyDescent="0.2">
      <c r="A8" s="7" t="s">
        <v>31</v>
      </c>
      <c r="C8" s="204" t="s">
        <v>55</v>
      </c>
      <c r="D8" s="204" t="s">
        <v>56</v>
      </c>
      <c r="E8" s="204" t="s">
        <v>57</v>
      </c>
    </row>
    <row r="9" spans="1:9" s="1" customFormat="1" x14ac:dyDescent="0.2">
      <c r="C9" s="8"/>
      <c r="D9" s="8"/>
      <c r="E9" s="8"/>
    </row>
    <row r="10" spans="1:9" ht="15.75" thickBot="1" x14ac:dyDescent="0.25">
      <c r="A10" s="5"/>
      <c r="B10" s="223" t="s">
        <v>218</v>
      </c>
      <c r="C10" s="1"/>
      <c r="D10" s="168"/>
      <c r="E10" s="168"/>
      <c r="I10" s="1"/>
    </row>
    <row r="11" spans="1:9" x14ac:dyDescent="0.2">
      <c r="I11" s="1"/>
    </row>
    <row r="12" spans="1:9" x14ac:dyDescent="0.2">
      <c r="A12" s="5">
        <v>1</v>
      </c>
      <c r="B12" s="1" t="s">
        <v>252</v>
      </c>
      <c r="C12" s="14">
        <v>12362463.137341334</v>
      </c>
      <c r="D12" s="168"/>
      <c r="E12" s="168"/>
    </row>
    <row r="13" spans="1:9" x14ac:dyDescent="0.2">
      <c r="A13" s="5">
        <f>+A12+1</f>
        <v>2</v>
      </c>
      <c r="B13" s="1" t="s">
        <v>251</v>
      </c>
      <c r="C13" s="47">
        <v>13077204.393937092</v>
      </c>
      <c r="D13" s="168"/>
      <c r="E13" s="168"/>
    </row>
    <row r="14" spans="1:9" x14ac:dyDescent="0.2">
      <c r="A14" s="5"/>
      <c r="C14" s="27"/>
      <c r="D14" s="168"/>
      <c r="E14" s="168"/>
    </row>
    <row r="15" spans="1:9" ht="15.75" thickBot="1" x14ac:dyDescent="0.25">
      <c r="A15" s="5">
        <f>+A13+1</f>
        <v>3</v>
      </c>
      <c r="B15" s="1" t="s">
        <v>221</v>
      </c>
      <c r="C15" s="54">
        <f>+C13-C12</f>
        <v>714741.25659575872</v>
      </c>
      <c r="D15" s="400">
        <f>+'KTW-5 p3 - Payroll 1'!C29</f>
        <v>0.100274</v>
      </c>
      <c r="E15" s="227">
        <f>+C15*D15</f>
        <v>71669.964763883108</v>
      </c>
    </row>
    <row r="16" spans="1:9" ht="16.5" thickTop="1" thickBot="1" x14ac:dyDescent="0.25">
      <c r="A16" s="77"/>
      <c r="B16" s="223"/>
      <c r="C16" s="163"/>
      <c r="D16" s="225"/>
      <c r="E16" s="226"/>
    </row>
    <row r="17" spans="1:12" x14ac:dyDescent="0.2">
      <c r="C17" s="9"/>
      <c r="D17" s="61"/>
      <c r="E17" s="168"/>
    </row>
    <row r="18" spans="1:12" ht="15.75" thickBot="1" x14ac:dyDescent="0.25">
      <c r="B18" s="223" t="s">
        <v>451</v>
      </c>
      <c r="C18" s="1"/>
      <c r="D18" s="61"/>
      <c r="E18" s="168"/>
    </row>
    <row r="19" spans="1:12" x14ac:dyDescent="0.2">
      <c r="C19" s="1"/>
      <c r="D19" s="61"/>
      <c r="E19" s="168"/>
    </row>
    <row r="20" spans="1:12" x14ac:dyDescent="0.2">
      <c r="A20" s="5">
        <f>+A15+1</f>
        <v>4</v>
      </c>
      <c r="B20" s="3" t="s">
        <v>253</v>
      </c>
      <c r="C20" s="20">
        <v>1557468.4091858051</v>
      </c>
      <c r="D20" s="265"/>
      <c r="E20" s="168"/>
      <c r="H20" s="20"/>
      <c r="I20" s="20"/>
      <c r="J20" s="20"/>
      <c r="K20" s="20"/>
      <c r="L20" s="20"/>
    </row>
    <row r="21" spans="1:12" x14ac:dyDescent="0.2">
      <c r="C21" s="20"/>
      <c r="D21" s="61"/>
      <c r="E21" s="168"/>
      <c r="H21" s="20"/>
      <c r="I21" s="20"/>
      <c r="J21" s="20"/>
      <c r="K21" s="20"/>
      <c r="L21" s="20"/>
    </row>
    <row r="22" spans="1:12" x14ac:dyDescent="0.2">
      <c r="A22" s="5">
        <f>+A20+1</f>
        <v>5</v>
      </c>
      <c r="B22" s="3" t="s">
        <v>586</v>
      </c>
      <c r="C22" s="23">
        <v>1615328.1535122097</v>
      </c>
      <c r="D22" s="265"/>
      <c r="E22" s="168"/>
      <c r="H22" s="43"/>
      <c r="I22" s="43"/>
      <c r="J22" s="20"/>
      <c r="K22" s="20"/>
      <c r="L22" s="20"/>
    </row>
    <row r="23" spans="1:12" x14ac:dyDescent="0.2">
      <c r="A23" s="5"/>
      <c r="C23" s="27"/>
      <c r="D23" s="61"/>
      <c r="E23" s="168"/>
      <c r="H23" s="43"/>
      <c r="I23" s="146"/>
      <c r="J23" s="20"/>
      <c r="K23" s="20"/>
      <c r="L23" s="20"/>
    </row>
    <row r="24" spans="1:12" ht="15.75" thickBot="1" x14ac:dyDescent="0.25">
      <c r="A24" s="5">
        <f>+A22+1</f>
        <v>6</v>
      </c>
      <c r="B24" s="1" t="s">
        <v>221</v>
      </c>
      <c r="C24" s="54">
        <f>+C22-C20</f>
        <v>57859.744326404529</v>
      </c>
      <c r="D24" s="224">
        <v>1</v>
      </c>
      <c r="E24" s="227">
        <f>+C24*D24</f>
        <v>57859.744326404529</v>
      </c>
      <c r="H24" s="20"/>
      <c r="I24" s="20"/>
      <c r="J24" s="20"/>
      <c r="K24" s="20"/>
      <c r="L24" s="20"/>
    </row>
    <row r="25" spans="1:12" ht="15.75" thickTop="1" x14ac:dyDescent="0.2">
      <c r="D25" s="61"/>
      <c r="E25" s="168"/>
      <c r="H25" s="20"/>
      <c r="I25" s="20"/>
      <c r="J25" s="20"/>
      <c r="K25" s="20"/>
      <c r="L25" s="20"/>
    </row>
    <row r="26" spans="1:12" ht="15.75" thickBot="1" x14ac:dyDescent="0.25">
      <c r="A26" s="5">
        <f>+A24+1</f>
        <v>7</v>
      </c>
      <c r="B26" s="1" t="s">
        <v>296</v>
      </c>
      <c r="D26" s="68"/>
      <c r="E26" s="85">
        <f>+E15+E24</f>
        <v>129529.70909028764</v>
      </c>
      <c r="H26" s="20"/>
      <c r="I26" s="20"/>
      <c r="J26" s="20"/>
      <c r="K26" s="20"/>
      <c r="L26" s="20"/>
    </row>
    <row r="27" spans="1:12" ht="15.75" thickTop="1" x14ac:dyDescent="0.2">
      <c r="A27" s="43"/>
      <c r="B27" s="43"/>
      <c r="C27" s="20"/>
      <c r="D27" s="68"/>
      <c r="H27" s="20"/>
      <c r="I27" s="20"/>
      <c r="J27" s="20"/>
      <c r="K27" s="20"/>
      <c r="L27" s="20"/>
    </row>
    <row r="28" spans="1:12" x14ac:dyDescent="0.2">
      <c r="B28" s="1" t="s">
        <v>452</v>
      </c>
      <c r="D28" s="68"/>
      <c r="H28" s="43"/>
      <c r="I28" s="43"/>
      <c r="J28" s="20"/>
      <c r="K28" s="20"/>
      <c r="L28" s="20"/>
    </row>
    <row r="29" spans="1:12" ht="15.75" thickBot="1" x14ac:dyDescent="0.25">
      <c r="A29" s="223"/>
      <c r="B29" s="223"/>
      <c r="C29" s="223"/>
      <c r="D29" s="229"/>
      <c r="E29" s="163"/>
      <c r="H29" s="271"/>
      <c r="I29" s="43"/>
      <c r="J29" s="20"/>
      <c r="K29" s="20"/>
      <c r="L29" s="20"/>
    </row>
    <row r="30" spans="1:12" x14ac:dyDescent="0.2">
      <c r="C30" s="1"/>
      <c r="D30" s="68"/>
      <c r="H30" s="43"/>
      <c r="I30" s="43"/>
      <c r="J30" s="20"/>
      <c r="K30" s="20"/>
      <c r="L30" s="20"/>
    </row>
    <row r="31" spans="1:12" ht="15.75" thickBot="1" x14ac:dyDescent="0.25">
      <c r="B31" s="223" t="s">
        <v>220</v>
      </c>
      <c r="C31" s="1"/>
      <c r="D31" s="68"/>
      <c r="H31" s="43"/>
      <c r="I31" s="43"/>
      <c r="J31" s="20"/>
      <c r="K31" s="20"/>
      <c r="L31" s="20"/>
    </row>
    <row r="32" spans="1:12" x14ac:dyDescent="0.2">
      <c r="A32" s="5"/>
      <c r="C32" s="1"/>
      <c r="D32" s="68"/>
      <c r="H32" s="1"/>
      <c r="I32" s="1"/>
    </row>
    <row r="33" spans="1:9" x14ac:dyDescent="0.2">
      <c r="A33" s="5">
        <f>+A26+1</f>
        <v>8</v>
      </c>
      <c r="B33" s="156" t="s">
        <v>468</v>
      </c>
      <c r="C33" s="27">
        <f>+'KTW-5 p3 - Payroll 1'!C23</f>
        <v>72782165.921699837</v>
      </c>
      <c r="D33" s="68"/>
      <c r="H33" s="1"/>
      <c r="I33" s="1"/>
    </row>
    <row r="34" spans="1:9" x14ac:dyDescent="0.2">
      <c r="A34" s="5">
        <f>+A33+1</f>
        <v>9</v>
      </c>
      <c r="B34" s="156" t="s">
        <v>469</v>
      </c>
      <c r="C34" s="47">
        <f>+'KTW-5 p3 - Payroll 1'!C25</f>
        <v>68746730.715710059</v>
      </c>
      <c r="D34" s="68"/>
      <c r="H34" s="1"/>
      <c r="I34" s="1"/>
    </row>
    <row r="35" spans="1:9" x14ac:dyDescent="0.2">
      <c r="D35" s="68"/>
      <c r="H35" s="1"/>
      <c r="I35" s="1"/>
    </row>
    <row r="36" spans="1:9" x14ac:dyDescent="0.2">
      <c r="A36" s="5">
        <f>+A34+1</f>
        <v>10</v>
      </c>
      <c r="B36" s="3" t="s">
        <v>539</v>
      </c>
      <c r="C36" s="8">
        <f>+C33-C34</f>
        <v>4035435.205989778</v>
      </c>
      <c r="D36" s="68"/>
    </row>
    <row r="37" spans="1:9" x14ac:dyDescent="0.2">
      <c r="D37" s="68"/>
    </row>
    <row r="38" spans="1:9" x14ac:dyDescent="0.2">
      <c r="A38" s="5">
        <f>+A36+1</f>
        <v>11</v>
      </c>
      <c r="B38" s="3" t="s">
        <v>235</v>
      </c>
      <c r="C38" s="53">
        <v>7.6499999999999999E-2</v>
      </c>
      <c r="D38" s="68"/>
    </row>
    <row r="39" spans="1:9" x14ac:dyDescent="0.2">
      <c r="C39" s="27"/>
      <c r="D39" s="68"/>
    </row>
    <row r="40" spans="1:9" ht="15.75" thickBot="1" x14ac:dyDescent="0.25">
      <c r="A40" s="5">
        <f>+A38+1</f>
        <v>12</v>
      </c>
      <c r="B40" s="3" t="s">
        <v>540</v>
      </c>
      <c r="C40" s="54">
        <f>+C36*C38</f>
        <v>308710.79325821804</v>
      </c>
      <c r="D40" s="224">
        <f>D15</f>
        <v>0.100274</v>
      </c>
      <c r="E40" s="230">
        <f>+C40*D40</f>
        <v>30955.666083174558</v>
      </c>
    </row>
    <row r="41" spans="1:9" ht="15.75" thickTop="1" x14ac:dyDescent="0.2">
      <c r="D41" s="68"/>
    </row>
    <row r="43" spans="1:9" x14ac:dyDescent="0.2">
      <c r="A43" s="3" t="s">
        <v>238</v>
      </c>
    </row>
    <row r="44" spans="1:9" x14ac:dyDescent="0.2">
      <c r="A44" s="8"/>
      <c r="B44" s="8"/>
    </row>
  </sheetData>
  <customSheetViews>
    <customSheetView guid="{A7BD13BF-7E57-44D7-9B02-43E2FA430390}" scale="90" showPageBreaks="1" fitToPage="1" printArea="1" topLeftCell="A13">
      <selection activeCell="C46" sqref="C46"/>
      <pageMargins left="0.5" right="0.5" top="0.5" bottom="0.5" header="0.25" footer="0.25"/>
      <printOptions horizontalCentered="1"/>
      <pageSetup scale="84" orientation="landscape" r:id="rId1"/>
      <headerFooter alignWithMargins="0"/>
    </customSheetView>
    <customSheetView guid="{C29552AC-6B79-447F-B962-713ED43BDF1A}" showPageBreaks="1" showGridLines="0" fitToPage="1" printArea="1">
      <selection activeCell="K23" sqref="K23"/>
      <pageMargins left="0.5" right="0.5" top="0.5" bottom="0.5" header="0.25" footer="0.25"/>
      <printOptions horizontalCentered="1"/>
      <pageSetup scale="85" orientation="landscape" r:id="rId2"/>
      <headerFooter alignWithMargins="0"/>
    </customSheetView>
    <customSheetView guid="{6ED201AA-AB2E-4FE7-B06B-B07932512C4D}" showPageBreaks="1" showGridLines="0" fitToPage="1" printArea="1" topLeftCell="A10">
      <selection activeCell="K23" sqref="K23"/>
      <pageMargins left="0.5" right="0.5" top="0.5" bottom="0.5" header="0.25" footer="0.25"/>
      <printOptions horizontalCentered="1"/>
      <pageSetup scale="84" orientation="landscape" r:id="rId3"/>
      <headerFooter alignWithMargins="0"/>
    </customSheetView>
    <customSheetView guid="{D711E10B-9441-4991-A2CB-ED400E35790D}" scale="90" fitToPage="1" topLeftCell="A4">
      <selection activeCell="N16" sqref="N16"/>
      <pageMargins left="0.5" right="0.5" top="0.5" bottom="0.5" header="0.25" footer="0.25"/>
      <printOptions horizontalCentered="1"/>
      <pageSetup scale="84" orientation="landscape" r:id="rId4"/>
      <headerFooter alignWithMargins="0"/>
    </customSheetView>
  </customSheetViews>
  <phoneticPr fontId="5" type="noConversion"/>
  <printOptions horizontalCentered="1"/>
  <pageMargins left="0.5" right="0.5" top="0.5" bottom="0.5" header="0.25" footer="0.25"/>
  <pageSetup scale="89" orientation="landscape" r:id="rId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7">
    <tabColor theme="9" tint="0.59999389629810485"/>
    <pageSetUpPr fitToPage="1"/>
  </sheetPr>
  <dimension ref="A1:E13"/>
  <sheetViews>
    <sheetView topLeftCell="A4" workbookViewId="0">
      <selection activeCell="H9" sqref="H9"/>
    </sheetView>
  </sheetViews>
  <sheetFormatPr defaultColWidth="9.140625" defaultRowHeight="15" x14ac:dyDescent="0.2"/>
  <cols>
    <col min="1" max="1" width="5.7109375" style="8" customWidth="1"/>
    <col min="2" max="2" width="50.7109375" style="8" customWidth="1"/>
    <col min="3" max="3" width="15.7109375" style="8" customWidth="1"/>
    <col min="4" max="4" width="4" style="8" customWidth="1"/>
    <col min="5" max="5" width="10.140625" style="8" bestFit="1" customWidth="1"/>
    <col min="6" max="16384" width="9.140625" style="8"/>
  </cols>
  <sheetData>
    <row r="1" spans="1:5" x14ac:dyDescent="0.2">
      <c r="A1" s="1" t="str">
        <f>'KTW-4 p7 - Uncollectible'!A1</f>
        <v>NW Natural</v>
      </c>
      <c r="B1" s="1"/>
      <c r="E1" s="384" t="s">
        <v>594</v>
      </c>
    </row>
    <row r="2" spans="1:5" x14ac:dyDescent="0.2">
      <c r="A2" s="1" t="str">
        <f>'KTW-4 p7 - Uncollectible'!A2</f>
        <v>Test Year Based on Twelve Months Ended September 30, 2020</v>
      </c>
      <c r="B2" s="1"/>
      <c r="E2" s="384" t="s">
        <v>615</v>
      </c>
    </row>
    <row r="3" spans="1:5" x14ac:dyDescent="0.2">
      <c r="A3" s="156" t="s">
        <v>491</v>
      </c>
      <c r="B3" s="1"/>
      <c r="C3" s="1"/>
    </row>
    <row r="4" spans="1:5" x14ac:dyDescent="0.2">
      <c r="A4" s="1"/>
      <c r="B4" s="1"/>
      <c r="C4" s="1"/>
    </row>
    <row r="5" spans="1:5" x14ac:dyDescent="0.2">
      <c r="A5" s="1"/>
      <c r="B5" s="1"/>
      <c r="C5" s="1"/>
    </row>
    <row r="6" spans="1:5" x14ac:dyDescent="0.2">
      <c r="A6" s="5" t="s">
        <v>15</v>
      </c>
      <c r="B6" s="1"/>
      <c r="C6" s="1"/>
    </row>
    <row r="7" spans="1:5" x14ac:dyDescent="0.2">
      <c r="A7" s="7" t="s">
        <v>31</v>
      </c>
      <c r="B7" s="1"/>
      <c r="C7" s="7" t="s">
        <v>422</v>
      </c>
      <c r="E7" s="430" t="s">
        <v>559</v>
      </c>
    </row>
    <row r="8" spans="1:5" x14ac:dyDescent="0.2">
      <c r="A8" s="5"/>
      <c r="B8" s="1"/>
      <c r="C8" s="5" t="s">
        <v>55</v>
      </c>
      <c r="E8" s="5" t="s">
        <v>56</v>
      </c>
    </row>
    <row r="9" spans="1:5" x14ac:dyDescent="0.2">
      <c r="A9" s="5"/>
      <c r="B9" s="1"/>
    </row>
    <row r="10" spans="1:5" ht="15.75" thickBot="1" x14ac:dyDescent="0.25">
      <c r="A10" s="5">
        <v>1</v>
      </c>
      <c r="B10" s="1" t="s">
        <v>530</v>
      </c>
      <c r="C10" s="390">
        <v>307157</v>
      </c>
      <c r="E10" s="8" t="s">
        <v>636</v>
      </c>
    </row>
    <row r="11" spans="1:5" ht="15.75" thickTop="1" x14ac:dyDescent="0.2">
      <c r="C11" s="214"/>
    </row>
    <row r="12" spans="1:5" x14ac:dyDescent="0.2">
      <c r="A12" s="5"/>
      <c r="B12" s="1"/>
      <c r="C12" s="228"/>
    </row>
    <row r="13" spans="1:5" x14ac:dyDescent="0.2">
      <c r="A13" s="3"/>
    </row>
  </sheetData>
  <customSheetViews>
    <customSheetView guid="{A7BD13BF-7E57-44D7-9B02-43E2FA430390}" showPageBreaks="1" fitToPage="1" printArea="1">
      <selection activeCell="C17" sqref="C17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showPageBreaks="1" fitToPage="1" printArea="1">
      <selection activeCell="E16" sqref="E16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showPageBreaks="1" fitToPage="1" printArea="1">
      <selection activeCell="I16" sqref="I16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>
      <selection activeCell="C17" sqref="C17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phoneticPr fontId="5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>
    <tabColor theme="9" tint="0.59999389629810485"/>
    <pageSetUpPr fitToPage="1"/>
  </sheetPr>
  <dimension ref="A1:G17"/>
  <sheetViews>
    <sheetView showGridLines="0" workbookViewId="0">
      <selection activeCell="A5" sqref="A4:A5"/>
    </sheetView>
  </sheetViews>
  <sheetFormatPr defaultColWidth="9.140625" defaultRowHeight="15" outlineLevelCol="1" x14ac:dyDescent="0.2"/>
  <cols>
    <col min="1" max="1" width="5.7109375" style="35" customWidth="1"/>
    <col min="2" max="2" width="50.7109375" style="35" customWidth="1"/>
    <col min="3" max="3" width="15.7109375" style="35" customWidth="1"/>
    <col min="4" max="4" width="6.7109375" style="35" customWidth="1" outlineLevel="1"/>
    <col min="5" max="5" width="11.85546875" style="35" bestFit="1" customWidth="1" outlineLevel="1"/>
    <col min="6" max="6" width="4.28515625" style="35" customWidth="1"/>
    <col min="7" max="7" width="40.42578125" style="35" bestFit="1" customWidth="1"/>
    <col min="8" max="16384" width="9.140625" style="35"/>
  </cols>
  <sheetData>
    <row r="1" spans="1:7" x14ac:dyDescent="0.2">
      <c r="A1" s="34" t="str">
        <f>'KTW-4 p7 - Uncollectible'!A1</f>
        <v>NW Natural</v>
      </c>
      <c r="B1" s="34"/>
      <c r="C1" s="384" t="s">
        <v>594</v>
      </c>
      <c r="D1" s="174"/>
      <c r="E1" s="37" t="s">
        <v>611</v>
      </c>
    </row>
    <row r="2" spans="1:7" x14ac:dyDescent="0.2">
      <c r="A2" s="34" t="str">
        <f>'KTW-4 p7 - Uncollectible'!A2</f>
        <v>Test Year Based on Twelve Months Ended September 30, 2020</v>
      </c>
      <c r="B2" s="34"/>
      <c r="C2" s="384" t="s">
        <v>596</v>
      </c>
      <c r="D2" s="34"/>
      <c r="E2" s="37" t="s">
        <v>613</v>
      </c>
    </row>
    <row r="3" spans="1:7" x14ac:dyDescent="0.2">
      <c r="A3" s="40" t="s">
        <v>460</v>
      </c>
      <c r="B3" s="34"/>
      <c r="C3" s="34"/>
      <c r="D3" s="34"/>
    </row>
    <row r="4" spans="1:7" x14ac:dyDescent="0.2">
      <c r="A4" s="326"/>
      <c r="B4" s="34"/>
      <c r="C4" s="34"/>
      <c r="D4" s="34"/>
    </row>
    <row r="5" spans="1:7" x14ac:dyDescent="0.2">
      <c r="A5" s="34"/>
      <c r="B5" s="34"/>
      <c r="C5" s="34"/>
      <c r="D5" s="34"/>
    </row>
    <row r="6" spans="1:7" x14ac:dyDescent="0.2">
      <c r="A6" s="37" t="s">
        <v>15</v>
      </c>
      <c r="B6" s="34"/>
      <c r="C6" s="37" t="s">
        <v>502</v>
      </c>
      <c r="D6" s="34"/>
      <c r="E6" s="37" t="s">
        <v>501</v>
      </c>
    </row>
    <row r="7" spans="1:7" x14ac:dyDescent="0.2">
      <c r="A7" s="39" t="s">
        <v>31</v>
      </c>
      <c r="B7" s="34"/>
      <c r="C7" s="39" t="s">
        <v>50</v>
      </c>
      <c r="D7" s="102"/>
      <c r="E7" s="39" t="s">
        <v>50</v>
      </c>
      <c r="G7" s="258"/>
    </row>
    <row r="8" spans="1:7" x14ac:dyDescent="0.2">
      <c r="A8" s="37"/>
      <c r="B8" s="34"/>
      <c r="C8" s="37" t="s">
        <v>55</v>
      </c>
      <c r="D8" s="37"/>
      <c r="E8" s="37"/>
    </row>
    <row r="9" spans="1:7" x14ac:dyDescent="0.2">
      <c r="A9" s="37"/>
      <c r="B9" s="34"/>
    </row>
    <row r="10" spans="1:7" x14ac:dyDescent="0.2">
      <c r="A10" s="37">
        <v>1</v>
      </c>
      <c r="B10" s="34" t="s">
        <v>627</v>
      </c>
      <c r="C10" s="401">
        <v>21735765.834850535</v>
      </c>
      <c r="D10" s="401"/>
      <c r="E10" s="401">
        <v>21420708.367492773</v>
      </c>
    </row>
    <row r="11" spans="1:7" x14ac:dyDescent="0.2">
      <c r="A11" s="37"/>
      <c r="B11" s="34"/>
      <c r="C11" s="401"/>
      <c r="D11" s="401"/>
      <c r="E11" s="401"/>
    </row>
    <row r="12" spans="1:7" x14ac:dyDescent="0.2">
      <c r="A12" s="37">
        <v>2</v>
      </c>
      <c r="B12" s="34" t="s">
        <v>523</v>
      </c>
      <c r="C12" s="401">
        <v>0</v>
      </c>
      <c r="D12" s="401"/>
      <c r="E12" s="401">
        <f>3989000*'KTW-3 p4 - Factors'!D8</f>
        <v>459931.69999999984</v>
      </c>
    </row>
    <row r="13" spans="1:7" x14ac:dyDescent="0.2">
      <c r="A13" s="37"/>
      <c r="B13" s="34"/>
      <c r="C13" s="401"/>
      <c r="D13" s="401"/>
      <c r="E13" s="401"/>
    </row>
    <row r="14" spans="1:7" x14ac:dyDescent="0.2">
      <c r="A14" s="37">
        <v>3</v>
      </c>
      <c r="B14" s="34" t="s">
        <v>628</v>
      </c>
      <c r="C14" s="401">
        <v>906066.07278298936</v>
      </c>
      <c r="D14" s="401"/>
      <c r="E14" s="402">
        <v>816145.51874545321</v>
      </c>
    </row>
    <row r="15" spans="1:7" x14ac:dyDescent="0.2">
      <c r="C15" s="314"/>
      <c r="D15" s="314"/>
      <c r="E15" s="314"/>
      <c r="F15" s="314"/>
    </row>
    <row r="16" spans="1:7" x14ac:dyDescent="0.2">
      <c r="B16" s="406" t="s">
        <v>629</v>
      </c>
      <c r="C16" s="314"/>
      <c r="D16" s="314"/>
      <c r="E16" s="314"/>
    </row>
    <row r="17" spans="3:5" x14ac:dyDescent="0.2">
      <c r="C17" s="314"/>
      <c r="D17" s="314"/>
      <c r="E17" s="314"/>
    </row>
  </sheetData>
  <customSheetViews>
    <customSheetView guid="{A7BD13BF-7E57-44D7-9B02-43E2FA430390}" showGridLines="0" fitToPage="1">
      <selection activeCell="E20" sqref="E20"/>
      <pageMargins left="0.7" right="0.7" top="0.75" bottom="0.75" header="0.3" footer="0.3"/>
      <printOptions horizontalCentered="1"/>
      <pageSetup orientation="landscape" r:id="rId1"/>
    </customSheetView>
    <customSheetView guid="{C29552AC-6B79-447F-B962-713ED43BDF1A}" fitToPage="1">
      <selection activeCell="G19" sqref="G19"/>
      <pageMargins left="0.7" right="0.7" top="0.75" bottom="0.75" header="0.3" footer="0.3"/>
      <printOptions horizontalCentered="1"/>
      <pageSetup orientation="landscape" r:id="rId2"/>
    </customSheetView>
    <customSheetView guid="{6ED201AA-AB2E-4FE7-B06B-B07932512C4D}" fitToPage="1">
      <selection activeCell="G19" sqref="G19"/>
      <pageMargins left="0.7" right="0.7" top="0.75" bottom="0.75" header="0.3" footer="0.3"/>
      <printOptions horizontalCentered="1"/>
      <pageSetup orientation="landscape" r:id="rId3"/>
    </customSheetView>
    <customSheetView guid="{D711E10B-9441-4991-A2CB-ED400E35790D}" showGridLines="0" fitToPage="1">
      <selection activeCell="C10" sqref="C10"/>
      <pageMargins left="0.7" right="0.7" top="0.75" bottom="0.75" header="0.3" footer="0.3"/>
      <printOptions horizontalCentered="1"/>
      <pageSetup orientation="landscape" r:id="rId4"/>
    </customSheetView>
  </customSheetViews>
  <printOptions horizontalCentered="1"/>
  <pageMargins left="0.7" right="0.7" top="0.75" bottom="0.75" header="0.3" footer="0.3"/>
  <pageSetup orientation="landscape" r:id="rId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>
    <tabColor theme="9" tint="0.59999389629810485"/>
    <pageSetUpPr fitToPage="1"/>
  </sheetPr>
  <dimension ref="A1:D16"/>
  <sheetViews>
    <sheetView workbookViewId="0">
      <selection activeCell="G13" sqref="G13"/>
    </sheetView>
  </sheetViews>
  <sheetFormatPr defaultColWidth="9.140625" defaultRowHeight="15" x14ac:dyDescent="0.2"/>
  <cols>
    <col min="1" max="1" width="5.7109375" style="8" customWidth="1"/>
    <col min="2" max="2" width="65.85546875" style="8" customWidth="1"/>
    <col min="3" max="3" width="15.7109375" style="8" customWidth="1"/>
    <col min="4" max="16384" width="9.140625" style="8"/>
  </cols>
  <sheetData>
    <row r="1" spans="1:4" x14ac:dyDescent="0.2">
      <c r="A1" s="1" t="str">
        <f>'KTW-4 p7 - Uncollectible'!A1</f>
        <v>NW Natural</v>
      </c>
      <c r="B1" s="1"/>
      <c r="C1" s="165" t="s">
        <v>594</v>
      </c>
    </row>
    <row r="2" spans="1:4" x14ac:dyDescent="0.2">
      <c r="A2" s="156" t="s">
        <v>584</v>
      </c>
      <c r="B2" s="1"/>
      <c r="C2" s="5" t="s">
        <v>598</v>
      </c>
    </row>
    <row r="3" spans="1:4" x14ac:dyDescent="0.2">
      <c r="A3" s="277"/>
      <c r="B3" s="1"/>
      <c r="C3" s="1"/>
    </row>
    <row r="4" spans="1:4" x14ac:dyDescent="0.2">
      <c r="B4" s="1"/>
      <c r="C4" s="1"/>
    </row>
    <row r="5" spans="1:4" x14ac:dyDescent="0.2">
      <c r="A5" s="5" t="s">
        <v>15</v>
      </c>
      <c r="B5" s="1"/>
      <c r="C5" s="1"/>
    </row>
    <row r="6" spans="1:4" x14ac:dyDescent="0.2">
      <c r="A6" s="7" t="s">
        <v>31</v>
      </c>
      <c r="B6" s="1"/>
      <c r="C6" s="7" t="s">
        <v>422</v>
      </c>
    </row>
    <row r="7" spans="1:4" x14ac:dyDescent="0.2">
      <c r="A7" s="5"/>
      <c r="B7" s="1"/>
      <c r="C7" s="5" t="s">
        <v>55</v>
      </c>
    </row>
    <row r="8" spans="1:4" x14ac:dyDescent="0.2">
      <c r="A8" s="5"/>
      <c r="B8" s="1"/>
    </row>
    <row r="9" spans="1:4" x14ac:dyDescent="0.2">
      <c r="A9" s="5">
        <v>1</v>
      </c>
      <c r="B9" s="1" t="s">
        <v>599</v>
      </c>
      <c r="C9" s="415">
        <v>375000</v>
      </c>
      <c r="D9" s="29"/>
    </row>
    <row r="10" spans="1:4" x14ac:dyDescent="0.2">
      <c r="C10" s="260"/>
      <c r="D10" s="29"/>
    </row>
    <row r="11" spans="1:4" x14ac:dyDescent="0.25">
      <c r="A11" s="5">
        <v>2</v>
      </c>
      <c r="B11" s="1" t="s">
        <v>541</v>
      </c>
      <c r="C11" s="414">
        <v>0</v>
      </c>
      <c r="D11" s="29"/>
    </row>
    <row r="12" spans="1:4" x14ac:dyDescent="0.2">
      <c r="A12" s="5"/>
      <c r="B12" s="1"/>
      <c r="C12" s="389"/>
      <c r="D12" s="29"/>
    </row>
    <row r="13" spans="1:4" ht="15.75" thickBot="1" x14ac:dyDescent="0.25">
      <c r="A13" s="5">
        <v>3</v>
      </c>
      <c r="B13" s="1" t="s">
        <v>600</v>
      </c>
      <c r="C13" s="199">
        <f>+C9+C11</f>
        <v>375000</v>
      </c>
      <c r="D13" s="29"/>
    </row>
    <row r="14" spans="1:4" ht="15.75" thickTop="1" x14ac:dyDescent="0.2">
      <c r="C14" s="52"/>
    </row>
    <row r="15" spans="1:4" ht="15.75" thickBot="1" x14ac:dyDescent="0.25">
      <c r="A15" s="5">
        <v>4</v>
      </c>
      <c r="B15" s="1" t="s">
        <v>597</v>
      </c>
      <c r="C15" s="199">
        <v>562500</v>
      </c>
    </row>
    <row r="16" spans="1:4" ht="15.75" thickTop="1" x14ac:dyDescent="0.2"/>
  </sheetData>
  <customSheetViews>
    <customSheetView guid="{A7BD13BF-7E57-44D7-9B02-43E2FA430390}" fitToPage="1">
      <selection activeCell="F11" sqref="F11"/>
      <pageMargins left="0.7" right="0.7" top="0.75" bottom="0.75" header="0.3" footer="0.3"/>
      <printOptions horizontalCentered="1"/>
      <pageSetup orientation="landscape" r:id="rId1"/>
    </customSheetView>
    <customSheetView guid="{C29552AC-6B79-447F-B962-713ED43BDF1A}" fitToPage="1">
      <selection activeCell="I28" sqref="I28"/>
      <pageMargins left="0.7" right="0.7" top="0.75" bottom="0.75" header="0.3" footer="0.3"/>
      <printOptions horizontalCentered="1"/>
      <pageSetup orientation="landscape" r:id="rId2"/>
    </customSheetView>
    <customSheetView guid="{6ED201AA-AB2E-4FE7-B06B-B07932512C4D}" fitToPage="1">
      <selection activeCell="I28" sqref="I28"/>
      <pageMargins left="0.7" right="0.7" top="0.75" bottom="0.75" header="0.3" footer="0.3"/>
      <printOptions horizontalCentered="1"/>
      <pageSetup orientation="landscape" r:id="rId3"/>
    </customSheetView>
    <customSheetView guid="{D711E10B-9441-4991-A2CB-ED400E35790D}" fitToPage="1">
      <selection activeCell="C16" sqref="C16"/>
      <pageMargins left="0.7" right="0.7" top="0.75" bottom="0.75" header="0.3" footer="0.3"/>
      <printOptions horizontalCentered="1"/>
      <pageSetup orientation="landscape" r:id="rId4"/>
    </customSheetView>
  </customSheetViews>
  <printOptions horizontalCentered="1"/>
  <pageMargins left="0.7" right="0.7" top="0.75" bottom="0.75" header="0.3" footer="0.3"/>
  <pageSetup orientation="landscape" r:id="rId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0.59999389629810485"/>
    <pageSetUpPr fitToPage="1"/>
  </sheetPr>
  <dimension ref="A1:E31"/>
  <sheetViews>
    <sheetView workbookViewId="0">
      <selection activeCell="C11" sqref="C11"/>
    </sheetView>
  </sheetViews>
  <sheetFormatPr defaultColWidth="8.7109375" defaultRowHeight="12.75" x14ac:dyDescent="0.2"/>
  <cols>
    <col min="1" max="1" width="5.5703125" style="231" customWidth="1"/>
    <col min="2" max="2" width="50.5703125" style="231" customWidth="1"/>
    <col min="3" max="3" width="20.5703125" style="231" bestFit="1" customWidth="1"/>
    <col min="4" max="4" width="21.42578125" style="231" bestFit="1" customWidth="1"/>
    <col min="5" max="16384" width="8.7109375" style="231"/>
  </cols>
  <sheetData>
    <row r="1" spans="1:5" ht="14.45" customHeight="1" x14ac:dyDescent="0.2">
      <c r="A1" s="1" t="str">
        <f>'KTW-4 p7 - Uncollectible'!A1</f>
        <v>NW Natural</v>
      </c>
      <c r="B1" s="1"/>
      <c r="C1" s="165" t="s">
        <v>594</v>
      </c>
    </row>
    <row r="2" spans="1:5" ht="14.45" customHeight="1" x14ac:dyDescent="0.2">
      <c r="A2" s="1" t="str">
        <f>'KTW-4 p7 - Uncollectible'!A2</f>
        <v>Test Year Based on Twelve Months Ended September 30, 2020</v>
      </c>
      <c r="B2" s="1"/>
      <c r="C2" s="5" t="s">
        <v>603</v>
      </c>
    </row>
    <row r="3" spans="1:5" ht="14.45" customHeight="1" x14ac:dyDescent="0.2">
      <c r="A3" s="156" t="s">
        <v>602</v>
      </c>
      <c r="B3" s="1"/>
      <c r="C3" s="1"/>
    </row>
    <row r="4" spans="1:5" ht="14.45" customHeight="1" x14ac:dyDescent="0.2">
      <c r="A4" s="279"/>
      <c r="B4" s="1"/>
      <c r="C4" s="1"/>
    </row>
    <row r="5" spans="1:5" ht="14.45" customHeight="1" x14ac:dyDescent="0.2">
      <c r="A5" s="1"/>
      <c r="B5" s="1"/>
      <c r="C5" s="1"/>
    </row>
    <row r="6" spans="1:5" ht="14.45" customHeight="1" x14ac:dyDescent="0.2">
      <c r="A6" s="5" t="s">
        <v>15</v>
      </c>
      <c r="B6" s="1"/>
      <c r="C6" s="1"/>
    </row>
    <row r="7" spans="1:5" ht="14.45" customHeight="1" x14ac:dyDescent="0.2">
      <c r="A7" s="7" t="s">
        <v>31</v>
      </c>
      <c r="B7" s="1"/>
      <c r="C7" s="7" t="s">
        <v>241</v>
      </c>
      <c r="D7" s="232"/>
    </row>
    <row r="8" spans="1:5" ht="14.45" customHeight="1" x14ac:dyDescent="0.2">
      <c r="A8" s="5"/>
      <c r="B8" s="1"/>
      <c r="C8" s="5" t="s">
        <v>55</v>
      </c>
      <c r="E8" s="233"/>
    </row>
    <row r="9" spans="1:5" ht="14.45" customHeight="1" x14ac:dyDescent="0.2">
      <c r="A9" s="5"/>
      <c r="B9" s="1"/>
      <c r="C9" s="8"/>
      <c r="E9" s="233"/>
    </row>
    <row r="10" spans="1:5" ht="14.45" customHeight="1" x14ac:dyDescent="0.2">
      <c r="A10" s="5"/>
      <c r="B10" s="1"/>
      <c r="C10" s="8"/>
      <c r="E10" s="233"/>
    </row>
    <row r="11" spans="1:5" ht="14.45" customHeight="1" x14ac:dyDescent="0.25">
      <c r="A11" s="5">
        <v>1</v>
      </c>
      <c r="B11" s="1" t="s">
        <v>550</v>
      </c>
      <c r="C11" s="319">
        <v>10935860.024140656</v>
      </c>
      <c r="E11" s="233"/>
    </row>
    <row r="12" spans="1:5" ht="14.45" customHeight="1" x14ac:dyDescent="0.2">
      <c r="C12" s="317"/>
      <c r="E12" s="233"/>
    </row>
    <row r="13" spans="1:5" ht="14.45" customHeight="1" x14ac:dyDescent="0.25">
      <c r="A13" s="5">
        <f>+A11+1</f>
        <v>2</v>
      </c>
      <c r="B13" s="1" t="s">
        <v>558</v>
      </c>
      <c r="C13" s="319">
        <v>11565494.892581793</v>
      </c>
      <c r="E13" s="233"/>
    </row>
    <row r="14" spans="1:5" ht="14.45" customHeight="1" x14ac:dyDescent="0.2">
      <c r="A14" s="8"/>
      <c r="B14" s="232"/>
      <c r="C14" s="317"/>
      <c r="E14" s="233"/>
    </row>
    <row r="15" spans="1:5" ht="14.45" customHeight="1" thickBot="1" x14ac:dyDescent="0.3">
      <c r="A15" s="5">
        <v>3</v>
      </c>
      <c r="B15" s="1" t="s">
        <v>26</v>
      </c>
      <c r="C15" s="318">
        <f>C13-C11</f>
        <v>629634.86844113655</v>
      </c>
      <c r="E15" s="233"/>
    </row>
    <row r="16" spans="1:5" ht="14.45" customHeight="1" thickTop="1" x14ac:dyDescent="0.2">
      <c r="E16" s="233"/>
    </row>
    <row r="17" spans="2:5" ht="14.45" customHeight="1" x14ac:dyDescent="0.2">
      <c r="B17" s="231" t="s">
        <v>554</v>
      </c>
      <c r="E17" s="233"/>
    </row>
    <row r="18" spans="2:5" ht="14.45" customHeight="1" x14ac:dyDescent="0.2">
      <c r="E18" s="233"/>
    </row>
    <row r="19" spans="2:5" ht="14.45" customHeight="1" x14ac:dyDescent="0.2">
      <c r="E19" s="233"/>
    </row>
    <row r="20" spans="2:5" ht="14.45" customHeight="1" x14ac:dyDescent="0.2">
      <c r="E20" s="233"/>
    </row>
    <row r="21" spans="2:5" ht="14.45" customHeight="1" x14ac:dyDescent="0.2">
      <c r="E21" s="233"/>
    </row>
    <row r="22" spans="2:5" ht="14.45" customHeight="1" x14ac:dyDescent="0.2">
      <c r="E22" s="233"/>
    </row>
    <row r="23" spans="2:5" ht="14.45" customHeight="1" x14ac:dyDescent="0.2">
      <c r="E23" s="233"/>
    </row>
    <row r="24" spans="2:5" ht="14.45" customHeight="1" x14ac:dyDescent="0.2">
      <c r="E24" s="233"/>
    </row>
    <row r="25" spans="2:5" x14ac:dyDescent="0.2">
      <c r="E25" s="233"/>
    </row>
    <row r="26" spans="2:5" x14ac:dyDescent="0.2">
      <c r="E26" s="233"/>
    </row>
    <row r="27" spans="2:5" x14ac:dyDescent="0.2">
      <c r="E27" s="233"/>
    </row>
    <row r="28" spans="2:5" x14ac:dyDescent="0.2">
      <c r="E28" s="233"/>
    </row>
    <row r="29" spans="2:5" x14ac:dyDescent="0.2">
      <c r="E29" s="233"/>
    </row>
    <row r="30" spans="2:5" x14ac:dyDescent="0.2">
      <c r="E30" s="233"/>
    </row>
    <row r="31" spans="2:5" x14ac:dyDescent="0.2">
      <c r="E31" s="233"/>
    </row>
  </sheetData>
  <customSheetViews>
    <customSheetView guid="{A7BD13BF-7E57-44D7-9B02-43E2FA430390}" showPageBreaks="1" fitToPage="1" printArea="1">
      <selection activeCell="C13" sqref="C13"/>
      <pageMargins left="0.7" right="0.7" top="0.75" bottom="0.75" header="0.3" footer="0.3"/>
      <printOptions horizontalCentered="1"/>
      <pageSetup orientation="landscape" r:id="rId1"/>
    </customSheetView>
    <customSheetView guid="{C29552AC-6B79-447F-B962-713ED43BDF1A}" showPageBreaks="1" fitToPage="1" printArea="1">
      <selection activeCell="D15" sqref="D15"/>
      <pageMargins left="0.7" right="0.7" top="0.75" bottom="0.75" header="0.3" footer="0.3"/>
      <printOptions horizontalCentered="1"/>
      <pageSetup orientation="landscape" r:id="rId2"/>
    </customSheetView>
    <customSheetView guid="{6ED201AA-AB2E-4FE7-B06B-B07932512C4D}" showPageBreaks="1" fitToPage="1" printArea="1">
      <selection activeCell="D31" sqref="D31"/>
      <pageMargins left="0.7" right="0.7" top="0.75" bottom="0.75" header="0.3" footer="0.3"/>
      <printOptions horizontalCentered="1"/>
      <pageSetup orientation="landscape" r:id="rId3"/>
    </customSheetView>
    <customSheetView guid="{D711E10B-9441-4991-A2CB-ED400E35790D}" fitToPage="1">
      <selection activeCell="C11" sqref="C11"/>
      <pageMargins left="0.7" right="0.7" top="0.75" bottom="0.75" header="0.3" footer="0.3"/>
      <printOptions horizontalCentered="1"/>
      <pageSetup orientation="landscape" r:id="rId4"/>
    </customSheetView>
  </customSheetViews>
  <printOptions horizontalCentered="1"/>
  <pageMargins left="0.7" right="0.7" top="0.75" bottom="0.75" header="0.3" footer="0.3"/>
  <pageSetup orientation="landscape" r:id="rId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6B95A-C204-4A7C-A624-9A00DBCC1C89}">
  <sheetPr>
    <tabColor theme="9" tint="0.59999389629810485"/>
  </sheetPr>
  <dimension ref="A1:H16"/>
  <sheetViews>
    <sheetView workbookViewId="0">
      <selection activeCell="C10" sqref="C10"/>
    </sheetView>
  </sheetViews>
  <sheetFormatPr defaultColWidth="9.140625" defaultRowHeight="12.75" x14ac:dyDescent="0.2"/>
  <cols>
    <col min="1" max="1" width="8.42578125" style="75" customWidth="1"/>
    <col min="2" max="2" width="33.28515625" style="75" customWidth="1"/>
    <col min="3" max="8" width="16.5703125" style="75" customWidth="1"/>
    <col min="9" max="16384" width="9.140625" style="75"/>
  </cols>
  <sheetData>
    <row r="1" spans="1:8" ht="15" x14ac:dyDescent="0.2">
      <c r="A1" s="1" t="str">
        <f>'KTW-4 p7 - Uncollectible'!A1</f>
        <v>NW Natural</v>
      </c>
      <c r="H1" s="395" t="s">
        <v>594</v>
      </c>
    </row>
    <row r="2" spans="1:8" ht="15" x14ac:dyDescent="0.2">
      <c r="A2" s="1" t="str">
        <f>'KTW-4 p7 - Uncollectible'!A2</f>
        <v>Test Year Based on Twelve Months Ended September 30, 2020</v>
      </c>
      <c r="H2" s="395" t="s">
        <v>609</v>
      </c>
    </row>
    <row r="3" spans="1:8" ht="15" x14ac:dyDescent="0.2">
      <c r="A3" s="156" t="s">
        <v>601</v>
      </c>
    </row>
    <row r="6" spans="1:8" ht="15" x14ac:dyDescent="0.2">
      <c r="A6" s="5"/>
      <c r="B6" s="1"/>
      <c r="C6" s="1"/>
    </row>
    <row r="7" spans="1:8" ht="45" x14ac:dyDescent="0.2">
      <c r="A7" s="39" t="s">
        <v>610</v>
      </c>
      <c r="B7" s="67"/>
      <c r="C7" s="396" t="s">
        <v>607</v>
      </c>
      <c r="D7" s="396" t="s">
        <v>92</v>
      </c>
      <c r="E7" s="396" t="s">
        <v>195</v>
      </c>
      <c r="F7" s="396" t="s">
        <v>606</v>
      </c>
      <c r="G7" s="396" t="s">
        <v>119</v>
      </c>
      <c r="H7" s="396" t="s">
        <v>608</v>
      </c>
    </row>
    <row r="8" spans="1:8" ht="15" x14ac:dyDescent="0.2">
      <c r="A8" s="5"/>
      <c r="B8" s="1"/>
      <c r="C8" s="5" t="s">
        <v>55</v>
      </c>
      <c r="D8" s="5" t="s">
        <v>56</v>
      </c>
      <c r="E8" s="5" t="s">
        <v>57</v>
      </c>
      <c r="F8" s="5" t="s">
        <v>58</v>
      </c>
      <c r="G8" s="5" t="s">
        <v>59</v>
      </c>
      <c r="H8" s="5" t="s">
        <v>65</v>
      </c>
    </row>
    <row r="9" spans="1:8" ht="15" x14ac:dyDescent="0.2">
      <c r="A9" s="5"/>
      <c r="B9" s="1"/>
      <c r="C9" s="68"/>
      <c r="D9" s="391"/>
      <c r="E9" s="391"/>
      <c r="F9" s="391"/>
      <c r="G9" s="391"/>
      <c r="H9" s="391"/>
    </row>
    <row r="10" spans="1:8" ht="15" x14ac:dyDescent="0.25">
      <c r="A10" s="5">
        <v>1</v>
      </c>
      <c r="B10" s="1" t="s">
        <v>604</v>
      </c>
      <c r="C10" s="407">
        <f>'KTW-3 p6 &amp; p7 - Rate Base'!Q63</f>
        <v>384133881.54414141</v>
      </c>
      <c r="D10" s="416">
        <f>'KTW-3 p6 &amp; p7 - Rate Base'!Q77</f>
        <v>-153345015.00180417</v>
      </c>
      <c r="E10" s="416">
        <f>'KTW-3 p6 &amp; p7 - Rate Base'!Q79</f>
        <v>2455282.1246682908</v>
      </c>
      <c r="F10" s="416">
        <f>'KTW-3 p6 &amp; p7 - Rate Base'!Q80</f>
        <v>-1031896.7383333333</v>
      </c>
      <c r="G10" s="416">
        <f>'KTW-3 p6 &amp; p7 - Rate Base'!Q81</f>
        <v>2910412.3297116677</v>
      </c>
      <c r="H10" s="416">
        <f>'KTW-3 p6 &amp; p7 - Rate Base'!Q84</f>
        <v>-40456105.317660041</v>
      </c>
    </row>
    <row r="11" spans="1:8" ht="15" x14ac:dyDescent="0.2">
      <c r="A11" s="231"/>
      <c r="B11" s="231"/>
      <c r="C11" s="392"/>
      <c r="D11" s="392"/>
      <c r="E11" s="392"/>
      <c r="F11" s="392"/>
      <c r="G11" s="392"/>
      <c r="H11" s="392"/>
    </row>
    <row r="12" spans="1:8" ht="15" x14ac:dyDescent="0.25">
      <c r="A12" s="5">
        <f>+A10+1</f>
        <v>2</v>
      </c>
      <c r="B12" s="1" t="s">
        <v>605</v>
      </c>
      <c r="C12" s="407">
        <f>'KTW-3 p6 &amp; p7 - Rate Base'!P63</f>
        <v>394072788.73395652</v>
      </c>
      <c r="D12" s="416">
        <f>'KTW-3 p6 &amp; p7 - Rate Base'!P77</f>
        <v>-157763368.31372365</v>
      </c>
      <c r="E12" s="416">
        <f>'KTW-3 p6 &amp; p7 - Rate Base'!P79</f>
        <v>2454136.6740519991</v>
      </c>
      <c r="F12" s="416">
        <f>'KTW-3 p6 &amp; p7 - Rate Base'!P80</f>
        <v>-1157048.2799999998</v>
      </c>
      <c r="G12" s="416">
        <f>'KTW-3 p6 &amp; p7 - Rate Base'!P81</f>
        <v>3293802.4125120007</v>
      </c>
      <c r="H12" s="416">
        <f>'KTW-3 p6 &amp; p7 - Rate Base'!P84</f>
        <v>-40720699.532133207</v>
      </c>
    </row>
    <row r="13" spans="1:8" ht="15" x14ac:dyDescent="0.2">
      <c r="A13" s="8"/>
      <c r="B13" s="232"/>
      <c r="C13" s="393"/>
      <c r="D13" s="68"/>
      <c r="E13" s="68"/>
      <c r="F13" s="68"/>
      <c r="G13" s="68"/>
      <c r="H13" s="68"/>
    </row>
    <row r="14" spans="1:8" ht="15.75" thickBot="1" x14ac:dyDescent="0.3">
      <c r="A14" s="5">
        <v>3</v>
      </c>
      <c r="B14" s="1" t="s">
        <v>26</v>
      </c>
      <c r="C14" s="394">
        <f>C12-C10</f>
        <v>9938907.189815104</v>
      </c>
      <c r="D14" s="394">
        <f t="shared" ref="D14:H14" si="0">D12-D10</f>
        <v>-4418353.3119194806</v>
      </c>
      <c r="E14" s="394">
        <f t="shared" si="0"/>
        <v>-1145.4506162917241</v>
      </c>
      <c r="F14" s="394">
        <f t="shared" si="0"/>
        <v>-125151.54166666651</v>
      </c>
      <c r="G14" s="394">
        <f t="shared" si="0"/>
        <v>383390.08280033292</v>
      </c>
      <c r="H14" s="394">
        <f t="shared" si="0"/>
        <v>-264594.21447316557</v>
      </c>
    </row>
    <row r="15" spans="1:8" ht="13.5" thickTop="1" x14ac:dyDescent="0.2">
      <c r="A15" s="231"/>
      <c r="B15" s="231"/>
      <c r="C15" s="231"/>
    </row>
    <row r="16" spans="1:8" x14ac:dyDescent="0.2">
      <c r="A16" s="231"/>
      <c r="B16" s="231"/>
      <c r="C16" s="231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</sheetPr>
  <dimension ref="A1:M41"/>
  <sheetViews>
    <sheetView workbookViewId="0">
      <selection activeCell="C19" sqref="C19"/>
    </sheetView>
  </sheetViews>
  <sheetFormatPr defaultColWidth="9.140625" defaultRowHeight="12.75" outlineLevelCol="1" x14ac:dyDescent="0.2"/>
  <cols>
    <col min="1" max="1" width="4.7109375" style="75" customWidth="1"/>
    <col min="2" max="2" width="41.7109375" style="75" customWidth="1"/>
    <col min="3" max="7" width="13.7109375" style="75" customWidth="1" outlineLevel="1"/>
    <col min="8" max="8" width="3.140625" style="75" customWidth="1"/>
    <col min="9" max="13" width="18.5703125" style="75" customWidth="1" outlineLevel="1"/>
    <col min="14" max="16384" width="9.140625" style="75"/>
  </cols>
  <sheetData>
    <row r="1" spans="1:13" ht="15" x14ac:dyDescent="0.2">
      <c r="A1" s="1" t="s">
        <v>0</v>
      </c>
      <c r="B1" s="1"/>
      <c r="C1" s="1"/>
      <c r="D1" s="1"/>
      <c r="E1" s="1"/>
      <c r="F1" s="1"/>
      <c r="G1" s="5" t="s">
        <v>595</v>
      </c>
      <c r="H1" s="5"/>
      <c r="I1" s="5"/>
      <c r="M1" s="5" t="s">
        <v>634</v>
      </c>
    </row>
    <row r="2" spans="1:13" ht="15" x14ac:dyDescent="0.2">
      <c r="A2" s="1" t="s">
        <v>2</v>
      </c>
      <c r="B2" s="1"/>
      <c r="C2" s="1"/>
      <c r="D2" s="1"/>
      <c r="E2" s="1"/>
      <c r="F2" s="2"/>
      <c r="G2" s="5" t="s">
        <v>590</v>
      </c>
      <c r="H2" s="5"/>
      <c r="I2" s="5"/>
      <c r="M2" s="395" t="s">
        <v>590</v>
      </c>
    </row>
    <row r="3" spans="1:13" ht="15" x14ac:dyDescent="0.2">
      <c r="A3" s="3" t="str">
        <f>+'KTW-3 p1 - Test Year Results'!A3</f>
        <v>Test Year Based on Twelve Months Ended September 30, 2020</v>
      </c>
      <c r="B3" s="1"/>
      <c r="C3" s="1"/>
      <c r="D3" s="1"/>
      <c r="E3" s="1"/>
      <c r="F3" s="2"/>
      <c r="G3" s="1"/>
      <c r="H3" s="1"/>
      <c r="I3" s="1"/>
    </row>
    <row r="4" spans="1:13" ht="15" x14ac:dyDescent="0.2">
      <c r="A4" s="1"/>
      <c r="B4" s="1"/>
      <c r="C4" s="1"/>
      <c r="D4" s="1"/>
      <c r="E4" s="1"/>
      <c r="F4" s="1"/>
      <c r="G4" s="4"/>
      <c r="H4" s="4"/>
      <c r="I4" s="4"/>
    </row>
    <row r="5" spans="1:13" ht="15.75" thickBot="1" x14ac:dyDescent="0.25">
      <c r="A5" s="1"/>
      <c r="B5" s="1"/>
      <c r="C5" s="449" t="s">
        <v>286</v>
      </c>
      <c r="D5" s="449"/>
      <c r="E5" s="449"/>
      <c r="F5" s="449"/>
      <c r="G5" s="450"/>
      <c r="H5" s="388"/>
      <c r="I5" s="450" t="s">
        <v>286</v>
      </c>
      <c r="J5" s="450"/>
      <c r="K5" s="450"/>
      <c r="L5" s="450"/>
      <c r="M5" s="450"/>
    </row>
    <row r="6" spans="1:13" ht="15" x14ac:dyDescent="0.2">
      <c r="A6" s="1"/>
      <c r="B6" s="1"/>
      <c r="C6" s="1"/>
      <c r="D6" s="5"/>
      <c r="E6" s="5"/>
      <c r="F6" s="5" t="s">
        <v>12</v>
      </c>
      <c r="G6" s="76" t="s">
        <v>13</v>
      </c>
      <c r="H6" s="388"/>
      <c r="I6" s="273"/>
      <c r="J6" s="273"/>
      <c r="K6" s="273"/>
      <c r="L6" s="399" t="s">
        <v>12</v>
      </c>
      <c r="M6" s="76" t="s">
        <v>503</v>
      </c>
    </row>
    <row r="7" spans="1:13" ht="15" x14ac:dyDescent="0.2">
      <c r="A7" s="5" t="s">
        <v>15</v>
      </c>
      <c r="B7" s="1"/>
      <c r="C7" s="5" t="s">
        <v>11</v>
      </c>
      <c r="D7" s="5"/>
      <c r="E7" s="5" t="s">
        <v>11</v>
      </c>
      <c r="F7" s="5" t="s">
        <v>17</v>
      </c>
      <c r="G7" s="284">
        <f>'KTW-3 p8 - Cost of Cap'!D13</f>
        <v>9.4E-2</v>
      </c>
      <c r="H7" s="397"/>
      <c r="I7" s="397" t="s">
        <v>501</v>
      </c>
      <c r="J7" s="6" t="s">
        <v>501</v>
      </c>
      <c r="K7" s="6" t="s">
        <v>503</v>
      </c>
      <c r="L7" s="6" t="s">
        <v>501</v>
      </c>
      <c r="M7" s="284" t="s">
        <v>520</v>
      </c>
    </row>
    <row r="8" spans="1:13" ht="15" x14ac:dyDescent="0.2">
      <c r="A8" s="7" t="s">
        <v>31</v>
      </c>
      <c r="B8" s="1"/>
      <c r="C8" s="7" t="s">
        <v>16</v>
      </c>
      <c r="D8" s="7" t="s">
        <v>32</v>
      </c>
      <c r="E8" s="7" t="s">
        <v>33</v>
      </c>
      <c r="F8" s="7" t="s">
        <v>34</v>
      </c>
      <c r="G8" s="80" t="s">
        <v>35</v>
      </c>
      <c r="H8" s="388"/>
      <c r="I8" s="387" t="s">
        <v>612</v>
      </c>
      <c r="J8" s="387" t="s">
        <v>32</v>
      </c>
      <c r="K8" s="411" t="s">
        <v>33</v>
      </c>
      <c r="L8" s="387" t="s">
        <v>518</v>
      </c>
      <c r="M8" s="80" t="s">
        <v>35</v>
      </c>
    </row>
    <row r="9" spans="1:13" ht="15" x14ac:dyDescent="0.2">
      <c r="A9" s="5"/>
      <c r="B9" s="1"/>
      <c r="C9" s="5" t="s">
        <v>55</v>
      </c>
      <c r="D9" s="5" t="s">
        <v>56</v>
      </c>
      <c r="E9" s="5" t="s">
        <v>57</v>
      </c>
      <c r="F9" s="5" t="s">
        <v>58</v>
      </c>
      <c r="G9" s="79" t="s">
        <v>59</v>
      </c>
      <c r="H9" s="388"/>
      <c r="I9" s="5" t="s">
        <v>65</v>
      </c>
      <c r="J9" s="5" t="s">
        <v>66</v>
      </c>
      <c r="K9" s="273" t="s">
        <v>67</v>
      </c>
      <c r="L9" s="221" t="s">
        <v>68</v>
      </c>
      <c r="M9" s="79" t="s">
        <v>69</v>
      </c>
    </row>
    <row r="10" spans="1:13" ht="15" x14ac:dyDescent="0.2">
      <c r="A10" s="5"/>
      <c r="B10" s="1"/>
      <c r="C10" s="8"/>
      <c r="D10" s="8"/>
      <c r="E10" s="9"/>
      <c r="F10" s="8"/>
      <c r="G10" s="81"/>
      <c r="H10" s="20"/>
      <c r="I10" s="20"/>
      <c r="J10" s="8"/>
      <c r="K10" s="8"/>
      <c r="L10" s="8"/>
      <c r="M10" s="81"/>
    </row>
    <row r="11" spans="1:13" ht="15" x14ac:dyDescent="0.2">
      <c r="A11" s="5"/>
      <c r="B11" s="1" t="s">
        <v>74</v>
      </c>
      <c r="C11" s="10"/>
      <c r="D11" s="10"/>
      <c r="E11" s="10"/>
      <c r="F11" s="8"/>
      <c r="G11" s="285"/>
      <c r="H11" s="398"/>
      <c r="I11" s="398"/>
      <c r="J11" s="10"/>
      <c r="K11" s="10"/>
      <c r="L11" s="8"/>
      <c r="M11" s="81"/>
    </row>
    <row r="12" spans="1:13" ht="15" x14ac:dyDescent="0.2">
      <c r="A12" s="5">
        <v>1</v>
      </c>
      <c r="B12" s="1" t="s">
        <v>77</v>
      </c>
      <c r="C12" s="11">
        <f>+'KTW-2 - Rev Req'!C12</f>
        <v>71678740.359525383</v>
      </c>
      <c r="D12" s="11">
        <f>+'KTW-2 - Rev Req'!D12</f>
        <v>4211997.8242638968</v>
      </c>
      <c r="E12" s="11">
        <f>+'KTW-2 - Rev Req'!E12</f>
        <v>75890738.183789283</v>
      </c>
      <c r="F12" s="11">
        <f>+'KTW-2 - Rev Req'!F12</f>
        <v>6255809.566815326</v>
      </c>
      <c r="G12" s="82">
        <f>+'KTW-2 - Rev Req'!G12</f>
        <v>82146547.750604615</v>
      </c>
      <c r="H12" s="31"/>
      <c r="I12" s="11">
        <f>G12</f>
        <v>82146547.750604615</v>
      </c>
      <c r="J12" s="11">
        <f>+'KTW-2 - Rev Req'!H12</f>
        <v>0</v>
      </c>
      <c r="K12" s="11">
        <f>+'KTW-2 - Rev Req'!I12</f>
        <v>82146547.750604615</v>
      </c>
      <c r="L12" s="11">
        <f>+'KTW-2 - Rev Req'!J12</f>
        <v>3150116.0024598856</v>
      </c>
      <c r="M12" s="82">
        <f>+'KTW-2 - Rev Req'!K12</f>
        <v>85296663.753064498</v>
      </c>
    </row>
    <row r="13" spans="1:13" ht="15" x14ac:dyDescent="0.2">
      <c r="A13" s="5">
        <v>2</v>
      </c>
      <c r="B13" s="1" t="s">
        <v>83</v>
      </c>
      <c r="C13" s="13">
        <f>+'KTW-2 - Rev Req'!C13</f>
        <v>2292849.1400000006</v>
      </c>
      <c r="D13" s="13">
        <f>+'KTW-2 - Rev Req'!D13</f>
        <v>149867.33880180493</v>
      </c>
      <c r="E13" s="13">
        <f>+'KTW-2 - Rev Req'!E13</f>
        <v>2442716.4788018055</v>
      </c>
      <c r="F13" s="13">
        <f>+'KTW-2 - Rev Req'!F13</f>
        <v>0</v>
      </c>
      <c r="G13" s="385">
        <f>+'KTW-2 - Rev Req'!G13</f>
        <v>2442716.4788018055</v>
      </c>
      <c r="H13" s="159"/>
      <c r="I13" s="13">
        <f>G13</f>
        <v>2442716.4788018055</v>
      </c>
      <c r="J13" s="14">
        <f>+'KTW-2 - Rev Req'!H13</f>
        <v>0</v>
      </c>
      <c r="K13" s="13">
        <f>+'KTW-2 - Rev Req'!I13</f>
        <v>2442716.4788018055</v>
      </c>
      <c r="L13" s="14"/>
      <c r="M13" s="286">
        <f>+'KTW-2 - Rev Req'!K13</f>
        <v>2442716.4788018055</v>
      </c>
    </row>
    <row r="14" spans="1:13" ht="15" x14ac:dyDescent="0.2">
      <c r="A14" s="5">
        <v>3</v>
      </c>
      <c r="B14" s="1" t="s">
        <v>87</v>
      </c>
      <c r="C14" s="15">
        <f>+'KTW-2 - Rev Req'!C14</f>
        <v>-2096028.5439839992</v>
      </c>
      <c r="D14" s="15">
        <f>+'KTW-2 - Rev Req'!D14</f>
        <v>2363456.8723413325</v>
      </c>
      <c r="E14" s="15">
        <f>+'KTW-2 - Rev Req'!E14</f>
        <v>267428.32835733332</v>
      </c>
      <c r="F14" s="15">
        <f>+'KTW-2 - Rev Req'!F14</f>
        <v>0</v>
      </c>
      <c r="G14" s="386">
        <f>+'KTW-2 - Rev Req'!G14</f>
        <v>267428.32835733332</v>
      </c>
      <c r="H14" s="159"/>
      <c r="I14" s="15">
        <f>G14</f>
        <v>267428.32835733332</v>
      </c>
      <c r="J14" s="16">
        <f>+'KTW-2 - Rev Req'!H14</f>
        <v>0</v>
      </c>
      <c r="K14" s="15">
        <f>+'KTW-2 - Rev Req'!I14</f>
        <v>267428.32835733332</v>
      </c>
      <c r="L14" s="16"/>
      <c r="M14" s="287">
        <f>+'KTW-2 - Rev Req'!K14</f>
        <v>267428.32835733332</v>
      </c>
    </row>
    <row r="15" spans="1:13" ht="15" x14ac:dyDescent="0.2">
      <c r="A15" s="5"/>
      <c r="B15" s="1"/>
      <c r="C15" s="13"/>
      <c r="D15" s="13"/>
      <c r="E15" s="13"/>
      <c r="F15" s="14"/>
      <c r="G15" s="286"/>
      <c r="H15" s="169"/>
      <c r="I15" s="13"/>
      <c r="J15" s="14"/>
      <c r="K15" s="13"/>
      <c r="L15" s="14"/>
      <c r="M15" s="286"/>
    </row>
    <row r="16" spans="1:13" ht="15" x14ac:dyDescent="0.2">
      <c r="A16" s="5">
        <v>4</v>
      </c>
      <c r="B16" s="1" t="s">
        <v>96</v>
      </c>
      <c r="C16" s="13">
        <f>SUM(C12:C15)</f>
        <v>71875560.955541387</v>
      </c>
      <c r="D16" s="13">
        <f>SUM(D12:D15)</f>
        <v>6725322.0354070347</v>
      </c>
      <c r="E16" s="13">
        <f>SUM(E12:E15)</f>
        <v>78600882.990948424</v>
      </c>
      <c r="F16" s="14">
        <f>SUM(F12:F15)</f>
        <v>6255809.566815326</v>
      </c>
      <c r="G16" s="286">
        <f>SUM(G12:G15)</f>
        <v>84856692.557763755</v>
      </c>
      <c r="H16" s="169"/>
      <c r="I16" s="13">
        <f>G16</f>
        <v>84856692.557763755</v>
      </c>
      <c r="J16" s="14">
        <f>+'KTW-2 - Rev Req'!H16</f>
        <v>0</v>
      </c>
      <c r="K16" s="13">
        <f>+'KTW-2 - Rev Req'!I16</f>
        <v>84856692.557763755</v>
      </c>
      <c r="L16" s="14">
        <f>+'KTW-2 - Rev Req'!J16</f>
        <v>3150116.0024598856</v>
      </c>
      <c r="M16" s="286">
        <f>+'KTW-2 - Rev Req'!K16</f>
        <v>88006808.560223639</v>
      </c>
    </row>
    <row r="17" spans="1:13" ht="15" x14ac:dyDescent="0.2">
      <c r="A17" s="5"/>
      <c r="B17" s="17"/>
      <c r="C17" s="13"/>
      <c r="D17" s="13"/>
      <c r="E17" s="13"/>
      <c r="F17" s="14"/>
      <c r="G17" s="286"/>
      <c r="H17" s="169"/>
      <c r="I17" s="13"/>
      <c r="J17" s="14"/>
      <c r="K17" s="13"/>
      <c r="L17" s="14"/>
      <c r="M17" s="286"/>
    </row>
    <row r="18" spans="1:13" ht="15" x14ac:dyDescent="0.2">
      <c r="A18" s="5"/>
      <c r="B18" s="1" t="s">
        <v>103</v>
      </c>
      <c r="C18" s="13"/>
      <c r="D18" s="13"/>
      <c r="E18" s="13"/>
      <c r="F18" s="14"/>
      <c r="G18" s="286"/>
      <c r="H18" s="169"/>
      <c r="I18" s="13"/>
      <c r="J18" s="14"/>
      <c r="K18" s="13"/>
      <c r="L18" s="14"/>
      <c r="M18" s="286"/>
    </row>
    <row r="19" spans="1:13" ht="15" x14ac:dyDescent="0.2">
      <c r="A19" s="5">
        <v>5</v>
      </c>
      <c r="B19" s="1" t="s">
        <v>105</v>
      </c>
      <c r="C19" s="13">
        <f>+'KTW-2 - Rev Req'!C19</f>
        <v>24325146.627437029</v>
      </c>
      <c r="D19" s="13">
        <f>+'KTW-2 - Rev Req'!D19</f>
        <v>4403405.372562971</v>
      </c>
      <c r="E19" s="13">
        <f>+'KTW-2 - Rev Req'!E19</f>
        <v>28728552</v>
      </c>
      <c r="F19" s="13">
        <f>+'KTW-2 - Rev Req'!F19</f>
        <v>0</v>
      </c>
      <c r="G19" s="385">
        <f>+'KTW-2 - Rev Req'!G19</f>
        <v>28728552</v>
      </c>
      <c r="H19" s="159"/>
      <c r="I19" s="13">
        <f>G19</f>
        <v>28728552</v>
      </c>
      <c r="J19" s="14">
        <f>+'KTW-2 - Rev Req'!H19</f>
        <v>0</v>
      </c>
      <c r="K19" s="13">
        <f>+'KTW-2 - Rev Req'!I19</f>
        <v>28728552</v>
      </c>
      <c r="L19" s="14">
        <f>+'KTW-2 - Rev Req'!J19</f>
        <v>0</v>
      </c>
      <c r="M19" s="286">
        <f>+'KTW-2 - Rev Req'!K19</f>
        <v>28728552</v>
      </c>
    </row>
    <row r="20" spans="1:13" ht="15" x14ac:dyDescent="0.2">
      <c r="A20" s="5">
        <v>6</v>
      </c>
      <c r="B20" s="1" t="s">
        <v>109</v>
      </c>
      <c r="C20" s="13">
        <f>+'KTW-2 - Rev Req'!C20</f>
        <v>110387.16508799998</v>
      </c>
      <c r="D20" s="13">
        <f>+'KTW-2 - Rev Req'!D20</f>
        <v>-21698.480458749676</v>
      </c>
      <c r="E20" s="13">
        <f>+'KTW-2 - Rev Req'!E20</f>
        <v>88688.684629250303</v>
      </c>
      <c r="F20" s="13">
        <f>+'KTW-2 - Rev Req'!F20</f>
        <v>6560.4945840295159</v>
      </c>
      <c r="G20" s="385">
        <f>+'KTW-2 - Rev Req'!G20</f>
        <v>95249.179213279815</v>
      </c>
      <c r="H20" s="159"/>
      <c r="I20" s="13">
        <f>G20</f>
        <v>95249.179213279815</v>
      </c>
      <c r="J20" s="14">
        <f>+'KTW-2 - Rev Req'!H20</f>
        <v>0</v>
      </c>
      <c r="K20" s="13">
        <f>+'KTW-2 - Rev Req'!I20</f>
        <v>95249.179213279815</v>
      </c>
      <c r="L20" s="14">
        <f>+'KTW-2 - Rev Req'!J20</f>
        <v>3303.5402936223786</v>
      </c>
      <c r="M20" s="286">
        <f>+'KTW-2 - Rev Req'!K20</f>
        <v>98552.719506902198</v>
      </c>
    </row>
    <row r="21" spans="1:13" ht="15" x14ac:dyDescent="0.2">
      <c r="A21" s="5">
        <v>7</v>
      </c>
      <c r="B21" s="1" t="s">
        <v>110</v>
      </c>
      <c r="C21" s="15">
        <f>+'KTW-2 - Rev Req'!C21</f>
        <v>18749534.194650553</v>
      </c>
      <c r="D21" s="15">
        <f>+'KTW-2 - Rev Req'!D21</f>
        <v>696463.54271876882</v>
      </c>
      <c r="E21" s="15">
        <f>+'KTW-2 - Rev Req'!E21</f>
        <v>19445997.737369321</v>
      </c>
      <c r="F21" s="15">
        <f>+'KTW-2 - Rev Req'!F21</f>
        <v>0</v>
      </c>
      <c r="G21" s="386">
        <f>+'KTW-2 - Rev Req'!G21</f>
        <v>19445997.737369321</v>
      </c>
      <c r="H21" s="159"/>
      <c r="I21" s="15">
        <f>G21</f>
        <v>19445997.737369321</v>
      </c>
      <c r="J21" s="16">
        <f>+'KTW-2 - Rev Req'!H21</f>
        <v>459931.69999999984</v>
      </c>
      <c r="K21" s="15">
        <f>+'KTW-2 - Rev Req'!I21</f>
        <v>19905929.437369321</v>
      </c>
      <c r="L21" s="16">
        <f>+'KTW-2 - Rev Req'!J21</f>
        <v>0</v>
      </c>
      <c r="M21" s="287">
        <f>+'KTW-2 - Rev Req'!K21</f>
        <v>19905929.437369321</v>
      </c>
    </row>
    <row r="22" spans="1:13" ht="15" x14ac:dyDescent="0.2">
      <c r="A22" s="5"/>
      <c r="B22" s="1"/>
      <c r="C22" s="13"/>
      <c r="D22" s="13"/>
      <c r="E22" s="13"/>
      <c r="F22" s="14"/>
      <c r="G22" s="286"/>
      <c r="H22" s="169"/>
      <c r="I22" s="13"/>
      <c r="J22" s="14"/>
      <c r="K22" s="13"/>
      <c r="L22" s="14"/>
      <c r="M22" s="286"/>
    </row>
    <row r="23" spans="1:13" ht="15" x14ac:dyDescent="0.2">
      <c r="A23" s="5">
        <v>8</v>
      </c>
      <c r="B23" s="1" t="s">
        <v>118</v>
      </c>
      <c r="C23" s="13">
        <f>SUM(C19:C22)</f>
        <v>43185067.987175584</v>
      </c>
      <c r="D23" s="13">
        <f>SUM(D18:D21)</f>
        <v>5078170.4348229906</v>
      </c>
      <c r="E23" s="13">
        <f>SUM(E18:E21)</f>
        <v>48263238.421998575</v>
      </c>
      <c r="F23" s="14">
        <f>SUM(F18:F21)</f>
        <v>6560.4945840295159</v>
      </c>
      <c r="G23" s="286">
        <f>SUM(G18:G21)</f>
        <v>48269798.916582599</v>
      </c>
      <c r="H23" s="169"/>
      <c r="I23" s="13">
        <f>G23</f>
        <v>48269798.916582599</v>
      </c>
      <c r="J23" s="14">
        <f>+'KTW-2 - Rev Req'!H23</f>
        <v>459931.69999999984</v>
      </c>
      <c r="K23" s="13">
        <f>+'KTW-2 - Rev Req'!I23</f>
        <v>48729730.616582602</v>
      </c>
      <c r="L23" s="14">
        <f>+'KTW-2 - Rev Req'!J23</f>
        <v>3303.5402936223786</v>
      </c>
      <c r="M23" s="286">
        <f>+'KTW-2 - Rev Req'!K23</f>
        <v>48733034.156876221</v>
      </c>
    </row>
    <row r="24" spans="1:13" ht="15" x14ac:dyDescent="0.2">
      <c r="A24" s="5"/>
      <c r="B24" s="2"/>
      <c r="C24" s="13"/>
      <c r="D24" s="13"/>
      <c r="E24" s="13"/>
      <c r="F24" s="14"/>
      <c r="G24" s="286"/>
      <c r="H24" s="169"/>
      <c r="I24" s="13"/>
      <c r="J24" s="14"/>
      <c r="K24" s="13"/>
      <c r="L24" s="14"/>
      <c r="M24" s="286"/>
    </row>
    <row r="25" spans="1:13" ht="15" x14ac:dyDescent="0.2">
      <c r="A25" s="5"/>
      <c r="B25" s="1"/>
      <c r="C25" s="13"/>
      <c r="D25" s="13"/>
      <c r="E25" s="13"/>
      <c r="F25" s="14"/>
      <c r="G25" s="286"/>
      <c r="H25" s="169"/>
      <c r="I25" s="13"/>
      <c r="J25" s="14"/>
      <c r="K25" s="13"/>
      <c r="L25" s="14"/>
      <c r="M25" s="286"/>
    </row>
    <row r="26" spans="1:13" ht="15" x14ac:dyDescent="0.2">
      <c r="A26" s="5">
        <v>9</v>
      </c>
      <c r="B26" s="1" t="s">
        <v>123</v>
      </c>
      <c r="C26" s="13">
        <f>+'KTW-2 - Rev Req'!C26</f>
        <v>1405065.9371478483</v>
      </c>
      <c r="D26" s="13">
        <f>+'KTW-2 - Rev Req'!D26</f>
        <v>-155881</v>
      </c>
      <c r="E26" s="13">
        <f>+'KTW-2 - Rev Req'!E26</f>
        <v>1249184.9371478483</v>
      </c>
      <c r="F26" s="13">
        <f>+'KTW-2 - Rev Req'!F26</f>
        <v>1259110.3704026274</v>
      </c>
      <c r="G26" s="385">
        <f>+'KTW-2 - Rev Req'!G26</f>
        <v>2508295.3075504759</v>
      </c>
      <c r="H26" s="159"/>
      <c r="I26" s="13">
        <f>G26</f>
        <v>2508295.3075504759</v>
      </c>
      <c r="J26" s="14">
        <f>+'KTW-2 - Rev Req'!H26</f>
        <v>-371753</v>
      </c>
      <c r="K26" s="13">
        <f>+'KTW-2 - Rev Req'!I26</f>
        <v>2136542.3075504759</v>
      </c>
      <c r="L26" s="14">
        <f>+'KTW-2 - Rev Req'!J26</f>
        <v>634025.64996678359</v>
      </c>
      <c r="M26" s="286">
        <f>+'KTW-2 - Rev Req'!K26</f>
        <v>2770567.9575172598</v>
      </c>
    </row>
    <row r="27" spans="1:13" ht="15" x14ac:dyDescent="0.2">
      <c r="A27" s="5">
        <v>10</v>
      </c>
      <c r="B27" s="1" t="s">
        <v>124</v>
      </c>
      <c r="C27" s="13">
        <f>+'KTW-2 - Rev Req'!C27</f>
        <v>1671587.02</v>
      </c>
      <c r="D27" s="13">
        <f>+'KTW-2 - Rev Req'!D27</f>
        <v>-50455.099999999067</v>
      </c>
      <c r="E27" s="13">
        <f>+'KTW-2 - Rev Req'!E27</f>
        <v>1621131.9200000009</v>
      </c>
      <c r="F27" s="13">
        <f>+'KTW-2 - Rev Req'!F27</f>
        <v>0</v>
      </c>
      <c r="G27" s="385">
        <f>+'KTW-2 - Rev Req'!G27</f>
        <v>1621131.9200000009</v>
      </c>
      <c r="H27" s="159"/>
      <c r="I27" s="13">
        <f>G27</f>
        <v>1621131.9200000009</v>
      </c>
      <c r="J27" s="14">
        <f>+'KTW-2 - Rev Req'!H27</f>
        <v>0</v>
      </c>
      <c r="K27" s="13">
        <f>+'KTW-2 - Rev Req'!I27</f>
        <v>1621131.9200000009</v>
      </c>
      <c r="L27" s="14">
        <f>+'KTW-2 - Rev Req'!J27</f>
        <v>0</v>
      </c>
      <c r="M27" s="286">
        <f>+'KTW-2 - Rev Req'!K27</f>
        <v>1621131.9200000009</v>
      </c>
    </row>
    <row r="28" spans="1:13" ht="15" x14ac:dyDescent="0.2">
      <c r="A28" s="5">
        <v>11</v>
      </c>
      <c r="B28" s="1" t="s">
        <v>128</v>
      </c>
      <c r="C28" s="13">
        <f>+'KTW-2 - Rev Req'!C28</f>
        <v>3814799.1242389199</v>
      </c>
      <c r="D28" s="13">
        <f>+'KTW-2 - Rev Req'!D28</f>
        <v>303465.71495786763</v>
      </c>
      <c r="E28" s="13">
        <f>+'KTW-2 - Rev Req'!E28</f>
        <v>4118264.8391967877</v>
      </c>
      <c r="F28" s="13">
        <f>+'KTW-2 - Rev Req'!F28</f>
        <v>253485.40364735702</v>
      </c>
      <c r="G28" s="385">
        <f>+'KTW-2 - Rev Req'!G28</f>
        <v>4371750.2428441448</v>
      </c>
      <c r="H28" s="159"/>
      <c r="I28" s="13">
        <f>G28</f>
        <v>4371750.2428441448</v>
      </c>
      <c r="J28" s="14">
        <f>+'KTW-2 - Rev Req'!H28</f>
        <v>0</v>
      </c>
      <c r="K28" s="13">
        <f>+'KTW-2 - Rev Req'!I28</f>
        <v>4371750.2428441448</v>
      </c>
      <c r="L28" s="14">
        <f>+'KTW-2 - Rev Req'!J28</f>
        <v>127642.70041967457</v>
      </c>
      <c r="M28" s="286">
        <f>+'KTW-2 - Rev Req'!K28</f>
        <v>4499392.9432638194</v>
      </c>
    </row>
    <row r="29" spans="1:13" ht="15" x14ac:dyDescent="0.2">
      <c r="A29" s="5">
        <v>12</v>
      </c>
      <c r="B29" s="1" t="s">
        <v>129</v>
      </c>
      <c r="C29" s="15">
        <f>+'KTW-2 - Rev Req'!C29</f>
        <v>10935860.024140656</v>
      </c>
      <c r="D29" s="15">
        <f>+'KTW-2 - Rev Req'!D29</f>
        <v>1535700.9412241259</v>
      </c>
      <c r="E29" s="15">
        <f>+'KTW-2 - Rev Req'!E29</f>
        <v>12471560.965364782</v>
      </c>
      <c r="F29" s="15">
        <f>+'KTW-2 - Rev Req'!F29</f>
        <v>0</v>
      </c>
      <c r="G29" s="386">
        <f>+'KTW-2 - Rev Req'!G29</f>
        <v>12471560.965364782</v>
      </c>
      <c r="H29" s="159"/>
      <c r="I29" s="15">
        <f>G29</f>
        <v>12471560.965364782</v>
      </c>
      <c r="J29" s="16">
        <f>+'KTW-2 - Rev Req'!H29</f>
        <v>816145.51874545321</v>
      </c>
      <c r="K29" s="15">
        <f>+'KTW-2 - Rev Req'!I29</f>
        <v>13287706.484110236</v>
      </c>
      <c r="L29" s="16">
        <f>+'KTW-2 - Rev Req'!J29</f>
        <v>0</v>
      </c>
      <c r="M29" s="287">
        <f>+'KTW-2 - Rev Req'!K29</f>
        <v>13287706.484110236</v>
      </c>
    </row>
    <row r="30" spans="1:13" ht="15" x14ac:dyDescent="0.2">
      <c r="A30" s="5"/>
      <c r="B30" s="1"/>
      <c r="C30" s="13"/>
      <c r="D30" s="13"/>
      <c r="E30" s="13"/>
      <c r="F30" s="14"/>
      <c r="G30" s="286"/>
      <c r="H30" s="169"/>
      <c r="I30" s="13"/>
      <c r="J30" s="14"/>
      <c r="K30" s="13"/>
      <c r="L30" s="14"/>
      <c r="M30" s="286"/>
    </row>
    <row r="31" spans="1:13" ht="15" x14ac:dyDescent="0.2">
      <c r="A31" s="5">
        <v>13</v>
      </c>
      <c r="B31" s="1" t="s">
        <v>132</v>
      </c>
      <c r="C31" s="15">
        <f>SUM(C23:C30)</f>
        <v>61012380.092703015</v>
      </c>
      <c r="D31" s="15">
        <f>SUM(D23:D30)</f>
        <v>6711000.9910049858</v>
      </c>
      <c r="E31" s="15">
        <f>SUM(E23:E30)</f>
        <v>67723381.083707988</v>
      </c>
      <c r="F31" s="16">
        <f>SUM(F23:F30)</f>
        <v>1519156.2686340138</v>
      </c>
      <c r="G31" s="287">
        <f>SUM(G23:G30)</f>
        <v>69242537.352341995</v>
      </c>
      <c r="H31" s="169"/>
      <c r="I31" s="15">
        <f>G31</f>
        <v>69242537.352341995</v>
      </c>
      <c r="J31" s="16">
        <f>+'KTW-2 - Rev Req'!H31</f>
        <v>904324.21874545305</v>
      </c>
      <c r="K31" s="15">
        <f>+'KTW-2 - Rev Req'!I31</f>
        <v>70146861.57108745</v>
      </c>
      <c r="L31" s="16">
        <f>+'KTW-2 - Rev Req'!J31</f>
        <v>764971.89068008051</v>
      </c>
      <c r="M31" s="287">
        <f>+'KTW-2 - Rev Req'!K31</f>
        <v>70911833.461767524</v>
      </c>
    </row>
    <row r="32" spans="1:13" ht="15" x14ac:dyDescent="0.2">
      <c r="A32" s="5"/>
      <c r="B32" s="1"/>
      <c r="C32" s="8"/>
      <c r="D32" s="8"/>
      <c r="E32" s="8"/>
      <c r="F32" s="8"/>
      <c r="G32" s="81"/>
      <c r="H32" s="20"/>
      <c r="I32" s="8"/>
      <c r="J32" s="8"/>
      <c r="K32" s="8"/>
      <c r="L32" s="8"/>
      <c r="M32" s="81"/>
    </row>
    <row r="33" spans="1:13" ht="15.75" thickBot="1" x14ac:dyDescent="0.25">
      <c r="A33" s="5">
        <v>14</v>
      </c>
      <c r="B33" s="1" t="s">
        <v>136</v>
      </c>
      <c r="C33" s="18">
        <f>C16-C31</f>
        <v>10863180.862838373</v>
      </c>
      <c r="D33" s="18">
        <f>D16-D31</f>
        <v>14321.044402048923</v>
      </c>
      <c r="E33" s="18">
        <f>E16-E31</f>
        <v>10877501.907240435</v>
      </c>
      <c r="F33" s="18">
        <f>F16-F31</f>
        <v>4736653.2981813122</v>
      </c>
      <c r="G33" s="288">
        <f>G16-G31</f>
        <v>15614155.205421761</v>
      </c>
      <c r="H33" s="172"/>
      <c r="I33" s="18">
        <f>G33</f>
        <v>15614155.205421761</v>
      </c>
      <c r="J33" s="18">
        <f>+'KTW-2 - Rev Req'!H33</f>
        <v>-904324.21874545305</v>
      </c>
      <c r="K33" s="18">
        <f>+'KTW-2 - Rev Req'!I33</f>
        <v>14709830.986676306</v>
      </c>
      <c r="L33" s="18">
        <f>+'KTW-2 - Rev Req'!J33</f>
        <v>2385144.1117798053</v>
      </c>
      <c r="M33" s="288">
        <f>+'KTW-2 - Rev Req'!K33</f>
        <v>17094975.098456111</v>
      </c>
    </row>
    <row r="34" spans="1:13" ht="15.75" thickTop="1" x14ac:dyDescent="0.2">
      <c r="A34" s="5"/>
      <c r="B34" s="1"/>
      <c r="C34" s="19"/>
      <c r="D34" s="19"/>
      <c r="E34" s="19"/>
      <c r="F34" s="19"/>
      <c r="G34" s="289"/>
      <c r="H34" s="172"/>
      <c r="I34" s="19"/>
      <c r="J34" s="19"/>
      <c r="K34" s="19"/>
      <c r="L34" s="19"/>
      <c r="M34" s="289"/>
    </row>
    <row r="35" spans="1:13" ht="15.75" thickBot="1" x14ac:dyDescent="0.25">
      <c r="A35" s="5">
        <v>15</v>
      </c>
      <c r="B35" s="1" t="s">
        <v>139</v>
      </c>
      <c r="C35" s="18">
        <f>+'KTW-2 - Rev Req'!C35</f>
        <v>194666558.94072384</v>
      </c>
      <c r="D35" s="18">
        <f>+'KTW-2 - Rev Req'!D35</f>
        <v>31200184.051474877</v>
      </c>
      <c r="E35" s="18">
        <f>+'KTW-2 - Rev Req'!E35</f>
        <v>225866742.99219871</v>
      </c>
      <c r="F35" s="18">
        <f>+'KTW-2 - Rev Req'!F35</f>
        <v>0</v>
      </c>
      <c r="G35" s="288">
        <f>+'KTW-2 - Rev Req'!G35</f>
        <v>225866742.99219871</v>
      </c>
      <c r="H35" s="172"/>
      <c r="I35" s="18">
        <f>G35</f>
        <v>225866742.99219871</v>
      </c>
      <c r="J35" s="30">
        <f>+'KTW-2 - Rev Req'!H35</f>
        <v>21420708.367492773</v>
      </c>
      <c r="K35" s="18">
        <f>+'KTW-2 - Rev Req'!I35</f>
        <v>247287451.35969147</v>
      </c>
      <c r="L35" s="30">
        <f>+'KTW-2 - Rev Req'!J35</f>
        <v>0</v>
      </c>
      <c r="M35" s="290">
        <f>+'KTW-2 - Rev Req'!K35</f>
        <v>247287451.35969147</v>
      </c>
    </row>
    <row r="36" spans="1:13" ht="15.75" thickTop="1" x14ac:dyDescent="0.2">
      <c r="A36" s="5"/>
      <c r="B36" s="1"/>
      <c r="C36" s="11"/>
      <c r="D36" s="11"/>
      <c r="E36" s="11"/>
      <c r="F36" s="11"/>
      <c r="G36" s="82"/>
      <c r="H36" s="31"/>
      <c r="I36" s="11"/>
      <c r="J36" s="11"/>
      <c r="K36" s="11"/>
      <c r="L36" s="8"/>
      <c r="M36" s="81"/>
    </row>
    <row r="37" spans="1:13" ht="15" x14ac:dyDescent="0.2">
      <c r="A37" s="5"/>
      <c r="B37" s="1"/>
      <c r="C37" s="8"/>
      <c r="D37" s="20"/>
      <c r="E37" s="8"/>
      <c r="F37" s="8"/>
      <c r="G37" s="81"/>
      <c r="H37" s="20"/>
      <c r="I37" s="8"/>
      <c r="J37" s="8"/>
      <c r="K37" s="8"/>
      <c r="L37" s="8"/>
      <c r="M37" s="81"/>
    </row>
    <row r="38" spans="1:13" ht="15.75" thickBot="1" x14ac:dyDescent="0.25">
      <c r="A38" s="5">
        <v>16</v>
      </c>
      <c r="B38" s="1" t="s">
        <v>143</v>
      </c>
      <c r="C38" s="21">
        <f>ROUND(+C33/C35,5)</f>
        <v>5.5800000000000002E-2</v>
      </c>
      <c r="D38" s="20"/>
      <c r="E38" s="21">
        <f>ROUND(+E33/E35,5)</f>
        <v>4.8160000000000001E-2</v>
      </c>
      <c r="F38" s="20"/>
      <c r="G38" s="381">
        <f>'KTW-3 p8 - Cost of Cap'!E15</f>
        <v>6.9129999999999997E-2</v>
      </c>
      <c r="H38" s="281"/>
      <c r="I38" s="21">
        <f>G38</f>
        <v>6.9129999999999997E-2</v>
      </c>
      <c r="J38" s="281"/>
      <c r="K38" s="21">
        <f>+'KTW-2 - Rev Req'!I38</f>
        <v>5.9479999999999998E-2</v>
      </c>
      <c r="L38" s="22"/>
      <c r="M38" s="381">
        <f>+'KTW-2 - Rev Req'!K38</f>
        <v>6.9129999999999997E-2</v>
      </c>
    </row>
    <row r="39" spans="1:13" ht="15.75" thickTop="1" x14ac:dyDescent="0.2">
      <c r="A39" s="5"/>
      <c r="B39" s="1"/>
      <c r="C39" s="22"/>
      <c r="D39" s="20"/>
      <c r="E39" s="22"/>
      <c r="F39" s="20"/>
      <c r="G39" s="291"/>
      <c r="H39" s="281"/>
      <c r="I39" s="22"/>
      <c r="J39" s="22"/>
      <c r="K39" s="22"/>
      <c r="L39" s="8"/>
      <c r="M39" s="291"/>
    </row>
    <row r="40" spans="1:13" ht="15.75" thickBot="1" x14ac:dyDescent="0.25">
      <c r="A40" s="5">
        <v>17</v>
      </c>
      <c r="B40" s="1" t="s">
        <v>146</v>
      </c>
      <c r="C40" s="21">
        <f>((+C38-'KTW-3 p8 - Cost of Cap'!$E$11-'KTW-3 p8 - Cost of Cap'!$E$12)/'KTW-3 p8 - Cost of Cap'!$C$13)</f>
        <v>6.6795918367346954E-2</v>
      </c>
      <c r="D40" s="20"/>
      <c r="E40" s="21">
        <f>((+E38-'KTW-3 p8 - Cost of Cap'!$E$11-'KTW-3 p8 - Cost of Cap'!$E$12)/'KTW-3 p8 - Cost of Cap'!$C$13)</f>
        <v>5.1204081632653067E-2</v>
      </c>
      <c r="F40" s="20"/>
      <c r="G40" s="292">
        <f>((+G38-'KTW-3 p8 - Cost of Cap'!$E$11-'KTW-3 p8 - Cost of Cap'!$E$12)/'KTW-3 p8 - Cost of Cap'!$C$13)</f>
        <v>9.4000000000000014E-2</v>
      </c>
      <c r="H40" s="281"/>
      <c r="I40" s="21">
        <f>G40</f>
        <v>9.4000000000000014E-2</v>
      </c>
      <c r="J40" s="281"/>
      <c r="K40" s="21">
        <f>+'KTW-2 - Rev Req'!I40</f>
        <v>7.4306122448979592E-2</v>
      </c>
      <c r="L40" s="8"/>
      <c r="M40" s="292">
        <f>+'KTW-2 - Rev Req'!K40</f>
        <v>9.4000000000000014E-2</v>
      </c>
    </row>
    <row r="41" spans="1:13" ht="13.5" thickTop="1" x14ac:dyDescent="0.2"/>
  </sheetData>
  <customSheetViews>
    <customSheetView guid="{A7BD13BF-7E57-44D7-9B02-43E2FA430390}">
      <selection activeCell="L28" sqref="L28"/>
      <pageMargins left="0.7" right="0.7" top="0.75" bottom="0.75" header="0.3" footer="0.3"/>
    </customSheetView>
    <customSheetView guid="{C29552AC-6B79-447F-B962-713ED43BDF1A}">
      <selection activeCell="F12" sqref="F12"/>
      <pageMargins left="0.7" right="0.7" top="0.75" bottom="0.75" header="0.3" footer="0.3"/>
    </customSheetView>
    <customSheetView guid="{6ED201AA-AB2E-4FE7-B06B-B07932512C4D}">
      <selection activeCell="F12" sqref="F12"/>
      <pageMargins left="0.7" right="0.7" top="0.75" bottom="0.75" header="0.3" footer="0.3"/>
    </customSheetView>
    <customSheetView guid="{D711E10B-9441-4991-A2CB-ED400E35790D}">
      <selection activeCell="L28" sqref="L28"/>
      <pageMargins left="0.7" right="0.7" top="0.75" bottom="0.75" header="0.3" footer="0.3"/>
    </customSheetView>
  </customSheetViews>
  <mergeCells count="2">
    <mergeCell ref="C5:G5"/>
    <mergeCell ref="I5:M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theme="5" tint="0.59999389629810485"/>
    <pageSetUpPr fitToPage="1"/>
  </sheetPr>
  <dimension ref="A1:M111"/>
  <sheetViews>
    <sheetView zoomScaleNormal="90" workbookViewId="0">
      <selection activeCell="C35" sqref="C35"/>
    </sheetView>
  </sheetViews>
  <sheetFormatPr defaultColWidth="8.85546875" defaultRowHeight="15" x14ac:dyDescent="0.2"/>
  <cols>
    <col min="1" max="3" width="5.7109375" style="43" customWidth="1"/>
    <col min="4" max="4" width="50.5703125" style="43" bestFit="1" customWidth="1"/>
    <col min="5" max="7" width="14.7109375" style="20" customWidth="1"/>
    <col min="8" max="8" width="8.85546875" style="8"/>
    <col min="9" max="9" width="11.140625" style="20" bestFit="1" customWidth="1"/>
    <col min="10" max="10" width="8.85546875" style="20"/>
    <col min="11" max="11" width="10" style="20" bestFit="1" customWidth="1"/>
    <col min="12" max="12" width="8.85546875" style="20"/>
    <col min="13" max="13" width="11" style="20" bestFit="1" customWidth="1"/>
    <col min="14" max="16384" width="8.85546875" style="20"/>
  </cols>
  <sheetData>
    <row r="1" spans="1:13" x14ac:dyDescent="0.2">
      <c r="A1" s="34" t="s">
        <v>0</v>
      </c>
      <c r="B1" s="34"/>
      <c r="C1" s="34"/>
      <c r="D1" s="34"/>
      <c r="E1" s="35"/>
      <c r="F1" s="35"/>
      <c r="G1" s="5" t="s">
        <v>589</v>
      </c>
      <c r="H1" s="20"/>
    </row>
    <row r="2" spans="1:13" x14ac:dyDescent="0.2">
      <c r="A2" s="34" t="s">
        <v>297</v>
      </c>
      <c r="B2" s="34"/>
      <c r="C2" s="34"/>
      <c r="D2" s="34"/>
      <c r="E2" s="35"/>
      <c r="F2" s="35"/>
      <c r="G2" s="5" t="s">
        <v>239</v>
      </c>
      <c r="H2" s="20"/>
    </row>
    <row r="3" spans="1:13" x14ac:dyDescent="0.2">
      <c r="A3" s="34" t="str">
        <f>'KTW-3 p1 - Test Year Results'!A3</f>
        <v>Test Year Based on Twelve Months Ended September 30, 2020</v>
      </c>
      <c r="B3" s="34"/>
      <c r="C3" s="34"/>
      <c r="D3" s="34"/>
      <c r="E3" s="34"/>
      <c r="F3" s="35"/>
      <c r="G3" s="36"/>
      <c r="H3" s="20"/>
    </row>
    <row r="4" spans="1:13" x14ac:dyDescent="0.2">
      <c r="A4" s="34"/>
      <c r="B4" s="34"/>
      <c r="C4" s="34"/>
      <c r="D4" s="34"/>
      <c r="E4" s="37" t="s">
        <v>484</v>
      </c>
      <c r="F4" s="37" t="s">
        <v>484</v>
      </c>
      <c r="G4" s="37" t="s">
        <v>484</v>
      </c>
      <c r="H4" s="20"/>
      <c r="M4" s="38"/>
    </row>
    <row r="5" spans="1:13" x14ac:dyDescent="0.2">
      <c r="A5" s="34"/>
      <c r="B5" s="34"/>
      <c r="C5" s="34"/>
      <c r="D5" s="34"/>
      <c r="E5" s="39" t="s">
        <v>7</v>
      </c>
      <c r="F5" s="39" t="s">
        <v>8</v>
      </c>
      <c r="G5" s="39" t="s">
        <v>9</v>
      </c>
      <c r="H5" s="20"/>
      <c r="M5" s="38"/>
    </row>
    <row r="6" spans="1:13" x14ac:dyDescent="0.2">
      <c r="A6" s="34" t="s">
        <v>298</v>
      </c>
      <c r="B6" s="34"/>
      <c r="C6" s="34"/>
      <c r="D6" s="34"/>
      <c r="E6" s="35"/>
      <c r="F6" s="35"/>
      <c r="G6" s="35"/>
      <c r="H6" s="20"/>
      <c r="M6" s="38"/>
    </row>
    <row r="7" spans="1:13" x14ac:dyDescent="0.2">
      <c r="A7" s="34"/>
      <c r="B7" s="34" t="s">
        <v>299</v>
      </c>
      <c r="C7" s="34"/>
      <c r="D7" s="34"/>
      <c r="E7" s="35"/>
      <c r="F7" s="35"/>
      <c r="G7" s="35"/>
      <c r="H7" s="20"/>
      <c r="M7" s="38"/>
    </row>
    <row r="8" spans="1:13" x14ac:dyDescent="0.2">
      <c r="A8" s="34"/>
      <c r="B8" s="34"/>
      <c r="C8" s="34" t="s">
        <v>300</v>
      </c>
      <c r="D8" s="34"/>
      <c r="E8" s="35"/>
      <c r="F8" s="35"/>
      <c r="G8" s="35"/>
      <c r="H8" s="20"/>
      <c r="M8" s="38"/>
    </row>
    <row r="9" spans="1:13" x14ac:dyDescent="0.2">
      <c r="A9" s="34"/>
      <c r="B9" s="34"/>
      <c r="C9" s="34" t="s">
        <v>301</v>
      </c>
      <c r="D9" s="34" t="s">
        <v>302</v>
      </c>
      <c r="E9" s="42">
        <v>487247.19000000018</v>
      </c>
      <c r="F9" s="42">
        <v>52671.421239000018</v>
      </c>
      <c r="G9" s="42">
        <v>434575.76876100001</v>
      </c>
      <c r="H9" s="20"/>
      <c r="M9" s="38"/>
    </row>
    <row r="10" spans="1:13" x14ac:dyDescent="0.2">
      <c r="A10" s="34"/>
      <c r="B10" s="34"/>
      <c r="C10" s="34" t="s">
        <v>303</v>
      </c>
      <c r="D10" s="34" t="s">
        <v>304</v>
      </c>
      <c r="E10" s="42">
        <v>135730.73000000001</v>
      </c>
      <c r="F10" s="42">
        <v>14672.491912999998</v>
      </c>
      <c r="G10" s="42">
        <v>121058.23808700002</v>
      </c>
      <c r="H10" s="20"/>
      <c r="M10" s="38"/>
    </row>
    <row r="11" spans="1:13" x14ac:dyDescent="0.2">
      <c r="A11" s="34"/>
      <c r="B11" s="34"/>
      <c r="C11" s="34" t="s">
        <v>556</v>
      </c>
      <c r="D11" s="34" t="s">
        <v>483</v>
      </c>
      <c r="E11" s="42">
        <v>0.11999999999999998</v>
      </c>
      <c r="F11" s="42">
        <v>1.2971999999999996E-2</v>
      </c>
      <c r="G11" s="42">
        <v>0.10702799999999998</v>
      </c>
      <c r="H11" s="20"/>
      <c r="M11" s="38"/>
    </row>
    <row r="12" spans="1:13" x14ac:dyDescent="0.2">
      <c r="A12" s="34"/>
      <c r="B12" s="34"/>
      <c r="C12" s="34" t="s">
        <v>305</v>
      </c>
      <c r="D12" s="34" t="s">
        <v>306</v>
      </c>
      <c r="E12" s="42">
        <v>2445855.4599999986</v>
      </c>
      <c r="F12" s="42">
        <v>263110.15201599995</v>
      </c>
      <c r="G12" s="42">
        <v>2182745.3079840001</v>
      </c>
      <c r="H12" s="20"/>
      <c r="M12" s="38"/>
    </row>
    <row r="13" spans="1:13" x14ac:dyDescent="0.2">
      <c r="A13" s="34"/>
      <c r="B13" s="34"/>
      <c r="C13" s="34" t="s">
        <v>307</v>
      </c>
      <c r="D13" s="34" t="s">
        <v>308</v>
      </c>
      <c r="E13" s="42">
        <v>70362.8</v>
      </c>
      <c r="F13" s="42">
        <v>7606.218679999999</v>
      </c>
      <c r="G13" s="42">
        <v>62756.58131999999</v>
      </c>
      <c r="H13" s="20"/>
      <c r="M13" s="38"/>
    </row>
    <row r="14" spans="1:13" x14ac:dyDescent="0.2">
      <c r="A14" s="34"/>
      <c r="B14" s="34"/>
      <c r="C14" s="34"/>
      <c r="D14" s="34"/>
      <c r="E14" s="42"/>
      <c r="F14" s="42"/>
      <c r="G14" s="42"/>
      <c r="M14" s="38"/>
    </row>
    <row r="15" spans="1:13" x14ac:dyDescent="0.2">
      <c r="A15" s="34"/>
      <c r="B15" s="34"/>
      <c r="C15" s="34" t="s">
        <v>309</v>
      </c>
      <c r="D15" s="34"/>
      <c r="E15" s="42"/>
      <c r="F15" s="42"/>
      <c r="G15" s="42"/>
      <c r="H15" s="20"/>
      <c r="M15" s="38"/>
    </row>
    <row r="16" spans="1:13" x14ac:dyDescent="0.2">
      <c r="A16" s="34"/>
      <c r="B16" s="34"/>
      <c r="C16" s="34" t="s">
        <v>310</v>
      </c>
      <c r="D16" s="34" t="s">
        <v>302</v>
      </c>
      <c r="E16" s="42">
        <v>205582.29000000004</v>
      </c>
      <c r="F16" s="42">
        <v>22223.445549</v>
      </c>
      <c r="G16" s="42">
        <v>183358.84445100007</v>
      </c>
      <c r="H16" s="20"/>
      <c r="M16" s="38"/>
    </row>
    <row r="17" spans="1:13" x14ac:dyDescent="0.2">
      <c r="A17" s="34"/>
      <c r="B17" s="34"/>
      <c r="C17" s="40">
        <v>834</v>
      </c>
      <c r="D17" s="34" t="s">
        <v>455</v>
      </c>
      <c r="E17" s="113">
        <v>628917.24000000011</v>
      </c>
      <c r="F17" s="113">
        <v>67985.953643999994</v>
      </c>
      <c r="G17" s="113">
        <v>560931.28635600011</v>
      </c>
      <c r="H17" s="329"/>
      <c r="M17" s="38"/>
    </row>
    <row r="18" spans="1:13" x14ac:dyDescent="0.2">
      <c r="A18" s="34"/>
      <c r="B18" s="34"/>
      <c r="C18" s="34"/>
      <c r="D18" s="34" t="s">
        <v>311</v>
      </c>
      <c r="E18" s="41">
        <f>SUM(E9:E17)</f>
        <v>3973695.8299999987</v>
      </c>
      <c r="F18" s="41">
        <f t="shared" ref="F18:G18" si="0">SUM(F9:F17)</f>
        <v>428269.69601299998</v>
      </c>
      <c r="G18" s="41">
        <f t="shared" si="0"/>
        <v>3545426.1339870002</v>
      </c>
      <c r="M18" s="38"/>
    </row>
    <row r="19" spans="1:13" x14ac:dyDescent="0.2">
      <c r="A19" s="34"/>
      <c r="B19" s="34"/>
      <c r="C19" s="34"/>
      <c r="D19" s="34"/>
      <c r="E19" s="305"/>
      <c r="F19" s="305"/>
      <c r="G19" s="305"/>
      <c r="H19" s="20"/>
      <c r="M19" s="38"/>
    </row>
    <row r="20" spans="1:13" x14ac:dyDescent="0.2">
      <c r="A20" s="34"/>
      <c r="B20" s="34" t="s">
        <v>312</v>
      </c>
      <c r="C20" s="34"/>
      <c r="D20" s="34"/>
      <c r="E20" s="305"/>
      <c r="F20" s="305"/>
      <c r="G20" s="305"/>
      <c r="H20" s="20"/>
      <c r="M20" s="38"/>
    </row>
    <row r="21" spans="1:13" x14ac:dyDescent="0.2">
      <c r="A21" s="34"/>
      <c r="B21" s="34"/>
      <c r="C21" s="34" t="s">
        <v>300</v>
      </c>
      <c r="D21" s="34"/>
      <c r="E21" s="305"/>
      <c r="F21" s="305"/>
      <c r="G21" s="305"/>
      <c r="H21" s="20"/>
    </row>
    <row r="22" spans="1:13" x14ac:dyDescent="0.2">
      <c r="A22" s="34"/>
      <c r="B22" s="34"/>
      <c r="C22" s="34" t="s">
        <v>313</v>
      </c>
      <c r="D22" s="34" t="s">
        <v>314</v>
      </c>
      <c r="E22" s="113">
        <v>106089.51000000001</v>
      </c>
      <c r="F22" s="113">
        <v>11468.276030999998</v>
      </c>
      <c r="G22" s="113">
        <v>94621.233969000008</v>
      </c>
      <c r="H22" s="20"/>
    </row>
    <row r="23" spans="1:13" x14ac:dyDescent="0.2">
      <c r="A23" s="34"/>
      <c r="B23" s="34"/>
      <c r="C23" s="34"/>
      <c r="D23" s="34" t="s">
        <v>315</v>
      </c>
      <c r="E23" s="41">
        <f>SUM(E22)</f>
        <v>106089.51000000001</v>
      </c>
      <c r="F23" s="41">
        <f t="shared" ref="F23:G23" si="1">SUM(F22)</f>
        <v>11468.276030999998</v>
      </c>
      <c r="G23" s="41">
        <f t="shared" si="1"/>
        <v>94621.233969000008</v>
      </c>
    </row>
    <row r="24" spans="1:13" x14ac:dyDescent="0.2">
      <c r="A24" s="34"/>
      <c r="B24" s="34"/>
      <c r="C24" s="34"/>
      <c r="D24" s="34"/>
      <c r="E24" s="305"/>
      <c r="F24" s="305"/>
      <c r="G24" s="305"/>
      <c r="H24" s="20"/>
    </row>
    <row r="25" spans="1:13" x14ac:dyDescent="0.2">
      <c r="A25" s="34"/>
      <c r="B25" s="34" t="s">
        <v>316</v>
      </c>
      <c r="C25" s="34"/>
      <c r="D25" s="34"/>
      <c r="E25" s="305"/>
      <c r="F25" s="305"/>
      <c r="G25" s="305"/>
      <c r="H25" s="20"/>
    </row>
    <row r="26" spans="1:13" x14ac:dyDescent="0.2">
      <c r="A26" s="34"/>
      <c r="B26" s="34"/>
      <c r="C26" s="34" t="s">
        <v>300</v>
      </c>
      <c r="D26" s="34"/>
      <c r="E26" s="305"/>
      <c r="F26" s="305"/>
      <c r="G26" s="305"/>
      <c r="H26" s="20"/>
    </row>
    <row r="27" spans="1:13" x14ac:dyDescent="0.2">
      <c r="A27" s="34"/>
      <c r="B27" s="34"/>
      <c r="C27" s="34" t="s">
        <v>317</v>
      </c>
      <c r="D27" s="34" t="s">
        <v>314</v>
      </c>
      <c r="E27" s="42">
        <v>1849734.1099999996</v>
      </c>
      <c r="F27" s="42">
        <v>199956.25729099987</v>
      </c>
      <c r="G27" s="42">
        <v>1649777.8527089993</v>
      </c>
    </row>
    <row r="28" spans="1:13" x14ac:dyDescent="0.2">
      <c r="A28" s="34"/>
      <c r="B28" s="34"/>
      <c r="C28" s="34" t="s">
        <v>456</v>
      </c>
      <c r="D28" s="34" t="s">
        <v>457</v>
      </c>
      <c r="E28" s="42">
        <v>-85795.860000000015</v>
      </c>
      <c r="F28" s="42">
        <v>-9274.5324659999969</v>
      </c>
      <c r="G28" s="42">
        <v>-76521.327534000011</v>
      </c>
      <c r="H28" s="20"/>
    </row>
    <row r="29" spans="1:13" x14ac:dyDescent="0.2">
      <c r="A29" s="34"/>
      <c r="B29" s="34"/>
      <c r="C29" s="34"/>
      <c r="D29" s="34"/>
      <c r="E29" s="42"/>
      <c r="F29" s="42"/>
      <c r="G29" s="42"/>
      <c r="H29" s="20"/>
    </row>
    <row r="30" spans="1:13" x14ac:dyDescent="0.2">
      <c r="A30" s="34"/>
      <c r="B30" s="34"/>
      <c r="C30" s="34" t="s">
        <v>309</v>
      </c>
      <c r="D30" s="34"/>
      <c r="E30" s="42"/>
      <c r="F30" s="42"/>
      <c r="G30" s="42"/>
      <c r="H30" s="20"/>
    </row>
    <row r="31" spans="1:13" x14ac:dyDescent="0.2">
      <c r="A31" s="34"/>
      <c r="B31" s="34"/>
      <c r="C31" s="34" t="s">
        <v>318</v>
      </c>
      <c r="D31" s="34" t="s">
        <v>314</v>
      </c>
      <c r="E31" s="113">
        <v>1194490.9000000004</v>
      </c>
      <c r="F31" s="113">
        <v>129125.53107499999</v>
      </c>
      <c r="G31" s="113">
        <v>1065365.3689249996</v>
      </c>
      <c r="H31" s="20"/>
    </row>
    <row r="32" spans="1:13" x14ac:dyDescent="0.2">
      <c r="A32" s="34"/>
      <c r="B32" s="34"/>
      <c r="C32" s="34"/>
      <c r="D32" s="34" t="s">
        <v>319</v>
      </c>
      <c r="E32" s="305"/>
      <c r="F32" s="305"/>
      <c r="G32" s="305"/>
      <c r="H32" s="20"/>
    </row>
    <row r="33" spans="1:8" x14ac:dyDescent="0.2">
      <c r="A33" s="34"/>
      <c r="B33" s="34"/>
      <c r="C33" s="34"/>
      <c r="D33" s="34"/>
      <c r="E33" s="274"/>
      <c r="F33" s="274"/>
      <c r="G33" s="274"/>
    </row>
    <row r="34" spans="1:8" x14ac:dyDescent="0.2">
      <c r="A34" s="34"/>
      <c r="B34" s="34"/>
      <c r="C34" s="34"/>
      <c r="D34" s="34" t="s">
        <v>320</v>
      </c>
      <c r="E34" s="41">
        <f>SUM(E27:E31)</f>
        <v>2958429.15</v>
      </c>
      <c r="F34" s="41">
        <f t="shared" ref="F34:G34" si="2">SUM(F27:F31)</f>
        <v>319807.25589999987</v>
      </c>
      <c r="G34" s="41">
        <f t="shared" si="2"/>
        <v>2638621.8940999992</v>
      </c>
      <c r="H34" s="20"/>
    </row>
    <row r="35" spans="1:8" x14ac:dyDescent="0.2">
      <c r="A35" s="34"/>
      <c r="B35" s="34"/>
      <c r="C35" s="34"/>
      <c r="D35" s="34"/>
      <c r="E35" s="41"/>
      <c r="F35" s="41"/>
      <c r="G35" s="41"/>
      <c r="H35" s="20"/>
    </row>
    <row r="36" spans="1:8" x14ac:dyDescent="0.2">
      <c r="A36" s="34" t="s">
        <v>321</v>
      </c>
      <c r="B36" s="34"/>
      <c r="C36" s="34"/>
      <c r="D36" s="34"/>
      <c r="E36" s="41"/>
      <c r="F36" s="41"/>
      <c r="G36" s="41"/>
      <c r="H36" s="20"/>
    </row>
    <row r="37" spans="1:8" x14ac:dyDescent="0.2">
      <c r="A37" s="34"/>
      <c r="B37" s="34"/>
      <c r="C37" s="34" t="s">
        <v>300</v>
      </c>
      <c r="D37" s="34"/>
      <c r="E37" s="41"/>
      <c r="F37" s="41"/>
      <c r="G37" s="41"/>
    </row>
    <row r="38" spans="1:8" x14ac:dyDescent="0.2">
      <c r="A38" s="34"/>
      <c r="B38" s="34"/>
      <c r="C38" s="34" t="s">
        <v>322</v>
      </c>
      <c r="D38" s="34" t="s">
        <v>323</v>
      </c>
      <c r="E38" s="42">
        <v>2373605.3799999994</v>
      </c>
      <c r="F38" s="42">
        <v>159628.15496096172</v>
      </c>
      <c r="G38" s="42">
        <v>2213977.2250390383</v>
      </c>
      <c r="H38" s="20"/>
    </row>
    <row r="39" spans="1:8" x14ac:dyDescent="0.2">
      <c r="A39" s="34"/>
      <c r="B39" s="34"/>
      <c r="C39" s="34"/>
      <c r="D39" s="34"/>
      <c r="E39" s="42"/>
      <c r="F39" s="42"/>
      <c r="G39" s="42"/>
      <c r="H39" s="20"/>
    </row>
    <row r="40" spans="1:8" x14ac:dyDescent="0.2">
      <c r="A40" s="34"/>
      <c r="B40" s="34"/>
      <c r="C40" s="34" t="s">
        <v>309</v>
      </c>
      <c r="D40" s="34"/>
      <c r="E40" s="42"/>
      <c r="F40" s="42"/>
      <c r="G40" s="42"/>
      <c r="H40" s="20"/>
    </row>
    <row r="41" spans="1:8" x14ac:dyDescent="0.2">
      <c r="A41" s="34"/>
      <c r="B41" s="34"/>
      <c r="C41" s="34" t="s">
        <v>324</v>
      </c>
      <c r="D41" s="34" t="s">
        <v>325</v>
      </c>
      <c r="E41" s="113">
        <v>-22364.28000000001</v>
      </c>
      <c r="F41" s="113">
        <v>-4115.4751678684943</v>
      </c>
      <c r="G41" s="113">
        <v>-18248.804832131504</v>
      </c>
      <c r="H41" s="329"/>
    </row>
    <row r="42" spans="1:8" x14ac:dyDescent="0.2">
      <c r="A42" s="34"/>
      <c r="B42" s="34"/>
      <c r="C42" s="34"/>
      <c r="D42" s="34" t="s">
        <v>326</v>
      </c>
      <c r="E42" s="41">
        <f>SUM(E38:E41)</f>
        <v>2351241.0999999996</v>
      </c>
      <c r="F42" s="41">
        <f t="shared" ref="F42:G42" si="3">SUM(F38:F41)</f>
        <v>155512.67979309324</v>
      </c>
      <c r="G42" s="41">
        <f t="shared" si="3"/>
        <v>2195728.4202069067</v>
      </c>
      <c r="H42" s="20"/>
    </row>
    <row r="43" spans="1:8" x14ac:dyDescent="0.2">
      <c r="A43" s="34"/>
      <c r="B43" s="34"/>
      <c r="C43" s="34"/>
      <c r="D43" s="34"/>
      <c r="E43" s="41"/>
      <c r="F43" s="41"/>
      <c r="G43" s="41"/>
      <c r="H43" s="20"/>
    </row>
    <row r="44" spans="1:8" x14ac:dyDescent="0.2">
      <c r="A44" s="34" t="s">
        <v>327</v>
      </c>
      <c r="B44" s="34"/>
      <c r="C44" s="34"/>
      <c r="D44" s="34"/>
      <c r="E44" s="41"/>
      <c r="F44" s="41"/>
      <c r="G44" s="41"/>
      <c r="H44" s="20"/>
    </row>
    <row r="45" spans="1:8" x14ac:dyDescent="0.2">
      <c r="A45" s="34"/>
      <c r="B45" s="34"/>
      <c r="C45" s="34" t="s">
        <v>300</v>
      </c>
      <c r="D45" s="34"/>
      <c r="E45" s="41"/>
      <c r="F45" s="41"/>
      <c r="G45" s="41"/>
      <c r="H45" s="20"/>
    </row>
    <row r="46" spans="1:8" x14ac:dyDescent="0.2">
      <c r="A46" s="34"/>
      <c r="B46" s="34"/>
      <c r="C46" s="34" t="s">
        <v>328</v>
      </c>
      <c r="D46" s="34" t="s">
        <v>314</v>
      </c>
      <c r="E46" s="42">
        <v>3291043.87</v>
      </c>
      <c r="F46" s="42">
        <v>281710.28069136565</v>
      </c>
      <c r="G46" s="42">
        <v>3009333.5893086353</v>
      </c>
      <c r="H46" s="20"/>
    </row>
    <row r="47" spans="1:8" x14ac:dyDescent="0.2">
      <c r="A47" s="34"/>
      <c r="B47" s="34"/>
      <c r="C47" s="34" t="s">
        <v>329</v>
      </c>
      <c r="D47" s="34" t="s">
        <v>330</v>
      </c>
      <c r="E47" s="42">
        <v>13497564.050000003</v>
      </c>
      <c r="F47" s="42">
        <v>1477393.7727072593</v>
      </c>
      <c r="G47" s="42">
        <v>12020170.277292732</v>
      </c>
      <c r="H47" s="20"/>
    </row>
    <row r="48" spans="1:8" x14ac:dyDescent="0.2">
      <c r="A48" s="34"/>
      <c r="B48" s="34"/>
      <c r="C48" s="34" t="s">
        <v>331</v>
      </c>
      <c r="D48" s="34" t="s">
        <v>332</v>
      </c>
      <c r="E48" s="42">
        <v>269671.60000000114</v>
      </c>
      <c r="F48" s="42">
        <v>25078.891335960961</v>
      </c>
      <c r="G48" s="42">
        <v>244592.70866403967</v>
      </c>
      <c r="H48" s="20"/>
    </row>
    <row r="49" spans="1:8" x14ac:dyDescent="0.2">
      <c r="A49" s="34"/>
      <c r="B49" s="34"/>
      <c r="C49" s="34" t="s">
        <v>333</v>
      </c>
      <c r="D49" s="34" t="s">
        <v>334</v>
      </c>
      <c r="E49" s="42">
        <v>589961.4800000001</v>
      </c>
      <c r="F49" s="42">
        <v>53337.193907000015</v>
      </c>
      <c r="G49" s="42">
        <v>536624.28609299986</v>
      </c>
      <c r="H49" s="20"/>
    </row>
    <row r="50" spans="1:8" x14ac:dyDescent="0.2">
      <c r="A50" s="34"/>
      <c r="B50" s="34"/>
      <c r="C50" s="34" t="s">
        <v>335</v>
      </c>
      <c r="D50" s="34" t="s">
        <v>336</v>
      </c>
      <c r="E50" s="42">
        <v>6677276.8000000045</v>
      </c>
      <c r="F50" s="42">
        <v>768063.46928663226</v>
      </c>
      <c r="G50" s="42">
        <v>5909213.330713369</v>
      </c>
      <c r="H50" s="20"/>
    </row>
    <row r="51" spans="1:8" x14ac:dyDescent="0.2">
      <c r="A51" s="34"/>
      <c r="B51" s="34"/>
      <c r="C51" s="34" t="s">
        <v>337</v>
      </c>
      <c r="D51" s="34" t="s">
        <v>338</v>
      </c>
      <c r="E51" s="42">
        <v>11359149.109999994</v>
      </c>
      <c r="F51" s="42">
        <v>1300270.1219499586</v>
      </c>
      <c r="G51" s="42">
        <v>10058878.988050042</v>
      </c>
      <c r="H51" s="20"/>
    </row>
    <row r="52" spans="1:8" x14ac:dyDescent="0.2">
      <c r="A52" s="34"/>
      <c r="B52" s="34"/>
      <c r="C52" s="34" t="s">
        <v>339</v>
      </c>
      <c r="D52" s="34" t="s">
        <v>340</v>
      </c>
      <c r="E52" s="42">
        <v>1328944.46</v>
      </c>
      <c r="F52" s="42">
        <v>138491.2250704875</v>
      </c>
      <c r="G52" s="42">
        <v>1190453.2349295134</v>
      </c>
    </row>
    <row r="53" spans="1:8" x14ac:dyDescent="0.2">
      <c r="A53" s="34"/>
      <c r="B53" s="34"/>
      <c r="C53" s="34" t="s">
        <v>341</v>
      </c>
      <c r="D53" s="34" t="s">
        <v>342</v>
      </c>
      <c r="E53" s="42">
        <v>192111.07999999996</v>
      </c>
      <c r="F53" s="42">
        <v>25533.747224000002</v>
      </c>
      <c r="G53" s="42">
        <v>166577.33277599997</v>
      </c>
    </row>
    <row r="54" spans="1:8" x14ac:dyDescent="0.2">
      <c r="A54" s="34"/>
      <c r="B54" s="34"/>
      <c r="C54" s="34"/>
      <c r="D54" s="34"/>
      <c r="E54" s="305"/>
      <c r="F54" s="305"/>
      <c r="G54" s="305"/>
      <c r="H54" s="20"/>
    </row>
    <row r="55" spans="1:8" x14ac:dyDescent="0.2">
      <c r="A55" s="34"/>
      <c r="B55" s="34"/>
      <c r="C55" s="34"/>
      <c r="D55" s="34"/>
      <c r="E55" s="305"/>
      <c r="F55" s="305"/>
      <c r="G55" s="5" t="s">
        <v>589</v>
      </c>
      <c r="H55" s="20"/>
    </row>
    <row r="56" spans="1:8" x14ac:dyDescent="0.2">
      <c r="A56" s="34"/>
      <c r="B56" s="34"/>
      <c r="C56" s="34"/>
      <c r="D56" s="34"/>
      <c r="E56" s="305"/>
      <c r="F56" s="305"/>
      <c r="G56" s="5" t="s">
        <v>613</v>
      </c>
      <c r="H56" s="20"/>
    </row>
    <row r="57" spans="1:8" x14ac:dyDescent="0.2">
      <c r="A57" s="34"/>
      <c r="B57" s="34"/>
      <c r="C57" s="34" t="s">
        <v>309</v>
      </c>
      <c r="D57" s="34"/>
      <c r="E57" s="305"/>
      <c r="F57" s="305"/>
      <c r="H57" s="20"/>
    </row>
    <row r="58" spans="1:8" x14ac:dyDescent="0.2">
      <c r="A58" s="34"/>
      <c r="B58" s="34"/>
      <c r="C58" s="34" t="s">
        <v>343</v>
      </c>
      <c r="D58" s="34" t="s">
        <v>314</v>
      </c>
      <c r="E58" s="42">
        <v>6200138.830000001</v>
      </c>
      <c r="F58" s="42">
        <v>326198.95252509316</v>
      </c>
      <c r="G58" s="42">
        <v>5873939.8774749022</v>
      </c>
      <c r="H58" s="20"/>
    </row>
    <row r="59" spans="1:8" x14ac:dyDescent="0.2">
      <c r="A59" s="34"/>
      <c r="B59" s="34"/>
      <c r="C59" s="34" t="s">
        <v>344</v>
      </c>
      <c r="D59" s="34" t="s">
        <v>345</v>
      </c>
      <c r="E59" s="42">
        <v>2779795.8099999991</v>
      </c>
      <c r="F59" s="42">
        <v>150839.52333687566</v>
      </c>
      <c r="G59" s="42">
        <v>2628956.2866631248</v>
      </c>
      <c r="H59" s="20"/>
    </row>
    <row r="60" spans="1:8" x14ac:dyDescent="0.2">
      <c r="A60" s="34"/>
      <c r="B60" s="34"/>
      <c r="C60" s="34" t="s">
        <v>346</v>
      </c>
      <c r="D60" s="34" t="s">
        <v>332</v>
      </c>
      <c r="E60" s="42">
        <v>1690338.8500000006</v>
      </c>
      <c r="F60" s="42">
        <v>151327.89715273291</v>
      </c>
      <c r="G60" s="42">
        <v>1539010.9528472673</v>
      </c>
      <c r="H60" s="20"/>
    </row>
    <row r="61" spans="1:8" x14ac:dyDescent="0.2">
      <c r="A61" s="34"/>
      <c r="B61" s="34"/>
      <c r="C61" s="34" t="s">
        <v>347</v>
      </c>
      <c r="D61" s="34" t="s">
        <v>334</v>
      </c>
      <c r="E61" s="42">
        <v>304394.90000000008</v>
      </c>
      <c r="F61" s="42">
        <v>23158.447275855786</v>
      </c>
      <c r="G61" s="42">
        <v>281236.45272414421</v>
      </c>
      <c r="H61" s="20"/>
    </row>
    <row r="62" spans="1:8" x14ac:dyDescent="0.2">
      <c r="A62" s="34"/>
      <c r="B62" s="34"/>
      <c r="C62" s="34" t="s">
        <v>348</v>
      </c>
      <c r="D62" s="34" t="s">
        <v>349</v>
      </c>
      <c r="E62" s="42">
        <v>1127525.56</v>
      </c>
      <c r="F62" s="42">
        <v>125489.31261859444</v>
      </c>
      <c r="G62" s="42">
        <v>1002036.2473814056</v>
      </c>
      <c r="H62" s="20"/>
    </row>
    <row r="63" spans="1:8" x14ac:dyDescent="0.2">
      <c r="A63" s="34"/>
      <c r="B63" s="34"/>
      <c r="C63" s="34" t="s">
        <v>350</v>
      </c>
      <c r="D63" s="34" t="s">
        <v>351</v>
      </c>
      <c r="E63" s="42">
        <v>3956270.25</v>
      </c>
      <c r="F63" s="42">
        <v>420308.99619167921</v>
      </c>
      <c r="G63" s="42">
        <v>3535961.2538083224</v>
      </c>
      <c r="H63" s="20"/>
    </row>
    <row r="64" spans="1:8" x14ac:dyDescent="0.2">
      <c r="A64" s="34"/>
      <c r="B64" s="34"/>
      <c r="C64" s="34" t="s">
        <v>352</v>
      </c>
      <c r="D64" s="34" t="s">
        <v>353</v>
      </c>
      <c r="E64" s="113">
        <v>39722.55000000001</v>
      </c>
      <c r="F64" s="113">
        <v>2255.380251567638</v>
      </c>
      <c r="G64" s="113">
        <v>37467.169748432359</v>
      </c>
    </row>
    <row r="65" spans="1:8" x14ac:dyDescent="0.2">
      <c r="A65" s="34"/>
      <c r="B65" s="34"/>
      <c r="C65" s="34"/>
      <c r="D65" s="34" t="s">
        <v>354</v>
      </c>
      <c r="E65" s="41">
        <f>SUM(E46:E64)</f>
        <v>53303909.200000003</v>
      </c>
      <c r="F65" s="41">
        <f t="shared" ref="F65:G65" si="4">SUM(F46:F64)</f>
        <v>5269457.211525063</v>
      </c>
      <c r="G65" s="41">
        <f t="shared" si="4"/>
        <v>48034451.98847492</v>
      </c>
      <c r="H65" s="20"/>
    </row>
    <row r="66" spans="1:8" x14ac:dyDescent="0.2">
      <c r="A66" s="34"/>
      <c r="B66" s="34"/>
      <c r="C66" s="34"/>
      <c r="D66" s="34"/>
      <c r="E66" s="41"/>
      <c r="F66" s="41"/>
      <c r="G66" s="41"/>
      <c r="H66" s="20"/>
    </row>
    <row r="67" spans="1:8" x14ac:dyDescent="0.2">
      <c r="A67" s="34" t="s">
        <v>355</v>
      </c>
      <c r="B67" s="34"/>
      <c r="C67" s="34"/>
      <c r="D67" s="34"/>
      <c r="E67" s="41"/>
      <c r="F67" s="41"/>
      <c r="G67" s="41"/>
      <c r="H67" s="20"/>
    </row>
    <row r="68" spans="1:8" x14ac:dyDescent="0.2">
      <c r="A68" s="34"/>
      <c r="B68" s="34"/>
      <c r="C68" s="34" t="s">
        <v>300</v>
      </c>
      <c r="D68" s="34"/>
      <c r="E68" s="41"/>
      <c r="F68" s="41"/>
      <c r="G68" s="41"/>
      <c r="H68" s="20"/>
    </row>
    <row r="69" spans="1:8" x14ac:dyDescent="0.2">
      <c r="A69" s="34"/>
      <c r="B69" s="34"/>
      <c r="C69" s="34" t="s">
        <v>356</v>
      </c>
      <c r="D69" s="34" t="s">
        <v>357</v>
      </c>
      <c r="E69" s="42">
        <v>1975468.9600000002</v>
      </c>
      <c r="F69" s="42">
        <v>227771.57108799991</v>
      </c>
      <c r="G69" s="42">
        <v>1747697.3889120002</v>
      </c>
      <c r="H69" s="20"/>
    </row>
    <row r="70" spans="1:8" x14ac:dyDescent="0.2">
      <c r="A70" s="34"/>
      <c r="B70" s="34"/>
      <c r="C70" s="34" t="s">
        <v>358</v>
      </c>
      <c r="D70" s="34" t="s">
        <v>359</v>
      </c>
      <c r="E70" s="42">
        <v>1027731.1599999999</v>
      </c>
      <c r="F70" s="42">
        <v>117250.87841799996</v>
      </c>
      <c r="G70" s="42">
        <v>910480.28158200032</v>
      </c>
      <c r="H70" s="20"/>
    </row>
    <row r="71" spans="1:8" x14ac:dyDescent="0.2">
      <c r="A71" s="34"/>
      <c r="B71" s="34"/>
      <c r="C71" s="34" t="s">
        <v>360</v>
      </c>
      <c r="D71" s="34" t="s">
        <v>361</v>
      </c>
      <c r="E71" s="42">
        <v>16368149.850000003</v>
      </c>
      <c r="F71" s="42">
        <v>1874089.5688979984</v>
      </c>
      <c r="G71" s="42">
        <v>14494060.281101998</v>
      </c>
      <c r="H71" s="20"/>
    </row>
    <row r="72" spans="1:8" x14ac:dyDescent="0.2">
      <c r="A72" s="34"/>
      <c r="B72" s="34"/>
      <c r="C72" s="34" t="s">
        <v>362</v>
      </c>
      <c r="D72" s="34" t="s">
        <v>363</v>
      </c>
      <c r="E72" s="113">
        <v>976008.45000000007</v>
      </c>
      <c r="F72" s="113">
        <v>110387.16508799998</v>
      </c>
      <c r="G72" s="113">
        <v>865621.28491200018</v>
      </c>
    </row>
    <row r="73" spans="1:8" x14ac:dyDescent="0.2">
      <c r="A73" s="34"/>
      <c r="B73" s="34"/>
      <c r="C73" s="34"/>
      <c r="D73" s="34" t="s">
        <v>364</v>
      </c>
      <c r="E73" s="41">
        <f>SUM(E69:E72)</f>
        <v>20347358.420000002</v>
      </c>
      <c r="F73" s="41">
        <f t="shared" ref="F73:G73" si="5">SUM(F69:F72)</f>
        <v>2329499.1834919979</v>
      </c>
      <c r="G73" s="41">
        <f t="shared" si="5"/>
        <v>18017859.236508001</v>
      </c>
      <c r="H73" s="20"/>
    </row>
    <row r="74" spans="1:8" x14ac:dyDescent="0.2">
      <c r="A74" s="34"/>
      <c r="B74" s="34"/>
      <c r="C74" s="34"/>
      <c r="D74" s="34"/>
      <c r="E74" s="305"/>
      <c r="F74" s="305"/>
      <c r="G74" s="305"/>
      <c r="H74" s="20"/>
    </row>
    <row r="75" spans="1:8" x14ac:dyDescent="0.2">
      <c r="A75" s="34" t="s">
        <v>365</v>
      </c>
      <c r="B75" s="34"/>
      <c r="C75" s="34"/>
      <c r="D75" s="34"/>
      <c r="E75" s="305"/>
      <c r="F75" s="305"/>
      <c r="G75" s="305"/>
      <c r="H75" s="20"/>
    </row>
    <row r="76" spans="1:8" x14ac:dyDescent="0.2">
      <c r="A76" s="34"/>
      <c r="B76" s="34"/>
      <c r="C76" s="34" t="s">
        <v>300</v>
      </c>
      <c r="D76" s="34"/>
      <c r="E76" s="305"/>
      <c r="F76" s="305"/>
      <c r="G76" s="305"/>
      <c r="H76" s="20"/>
    </row>
    <row r="77" spans="1:8" x14ac:dyDescent="0.2">
      <c r="A77" s="34"/>
      <c r="B77" s="34"/>
      <c r="C77" s="34" t="s">
        <v>366</v>
      </c>
      <c r="D77" s="34" t="s">
        <v>357</v>
      </c>
      <c r="E77" s="42">
        <v>3079.3500000000004</v>
      </c>
      <c r="F77" s="42">
        <v>358.43633999999986</v>
      </c>
      <c r="G77" s="42">
        <v>2720.9136600000002</v>
      </c>
      <c r="H77" s="20"/>
    </row>
    <row r="78" spans="1:8" x14ac:dyDescent="0.2">
      <c r="A78" s="34"/>
      <c r="B78" s="34"/>
      <c r="C78" s="34" t="s">
        <v>367</v>
      </c>
      <c r="D78" s="34" t="s">
        <v>368</v>
      </c>
      <c r="E78" s="42">
        <v>3396696.8499999996</v>
      </c>
      <c r="F78" s="42">
        <v>410623.27496699983</v>
      </c>
      <c r="G78" s="42">
        <v>2986073.5750330011</v>
      </c>
      <c r="H78" s="329"/>
    </row>
    <row r="79" spans="1:8" x14ac:dyDescent="0.2">
      <c r="A79" s="34"/>
      <c r="B79" s="34"/>
      <c r="C79" s="40">
        <v>909</v>
      </c>
      <c r="D79" s="34" t="s">
        <v>369</v>
      </c>
      <c r="E79" s="42">
        <v>2541769.9599999995</v>
      </c>
      <c r="F79" s="42">
        <v>293066.07638799987</v>
      </c>
      <c r="G79" s="42">
        <v>2248703.8836119999</v>
      </c>
      <c r="H79" s="20"/>
    </row>
    <row r="80" spans="1:8" x14ac:dyDescent="0.2">
      <c r="A80" s="34"/>
      <c r="B80" s="34"/>
      <c r="C80" s="34" t="s">
        <v>370</v>
      </c>
      <c r="D80" s="34" t="s">
        <v>371</v>
      </c>
      <c r="E80" s="113">
        <v>447995.44999999995</v>
      </c>
      <c r="F80" s="113">
        <v>52145.47697099996</v>
      </c>
      <c r="G80" s="113">
        <v>395849.9730290001</v>
      </c>
    </row>
    <row r="81" spans="1:8" x14ac:dyDescent="0.2">
      <c r="A81" s="34"/>
      <c r="B81" s="34"/>
      <c r="C81" s="34"/>
      <c r="D81" s="34" t="s">
        <v>372</v>
      </c>
      <c r="E81" s="41">
        <f>SUM(E77:E80)</f>
        <v>6389541.6099999994</v>
      </c>
      <c r="F81" s="41">
        <f t="shared" ref="F81:G81" si="6">SUM(F77:F80)</f>
        <v>756193.26466599968</v>
      </c>
      <c r="G81" s="41">
        <f t="shared" si="6"/>
        <v>5633348.3453340009</v>
      </c>
      <c r="H81" s="20"/>
    </row>
    <row r="82" spans="1:8" x14ac:dyDescent="0.2">
      <c r="A82" s="34"/>
      <c r="B82" s="34"/>
      <c r="C82" s="34"/>
      <c r="D82" s="34"/>
      <c r="E82" s="305"/>
      <c r="F82" s="305"/>
      <c r="G82" s="305"/>
      <c r="H82" s="20"/>
    </row>
    <row r="83" spans="1:8" x14ac:dyDescent="0.2">
      <c r="A83" s="34" t="s">
        <v>373</v>
      </c>
      <c r="B83" s="34"/>
      <c r="C83" s="34"/>
      <c r="D83" s="34"/>
      <c r="E83" s="305"/>
      <c r="F83" s="305"/>
      <c r="G83" s="305"/>
      <c r="H83" s="20"/>
    </row>
    <row r="84" spans="1:8" x14ac:dyDescent="0.2">
      <c r="A84" s="34"/>
      <c r="B84" s="34"/>
      <c r="C84" s="34" t="s">
        <v>300</v>
      </c>
      <c r="D84" s="34"/>
      <c r="E84" s="305"/>
      <c r="F84" s="305"/>
      <c r="G84" s="305"/>
      <c r="H84" s="20"/>
    </row>
    <row r="85" spans="1:8" x14ac:dyDescent="0.2">
      <c r="A85" s="34"/>
      <c r="B85" s="34"/>
      <c r="C85" s="34" t="s">
        <v>374</v>
      </c>
      <c r="D85" s="34" t="s">
        <v>357</v>
      </c>
      <c r="E85" s="42">
        <v>105760.99</v>
      </c>
      <c r="F85" s="42">
        <v>12194.242146999997</v>
      </c>
      <c r="G85" s="42">
        <v>93566.747853000023</v>
      </c>
      <c r="H85" s="20"/>
    </row>
    <row r="86" spans="1:8" x14ac:dyDescent="0.2">
      <c r="A86" s="34"/>
      <c r="B86" s="34"/>
      <c r="C86" s="34" t="s">
        <v>375</v>
      </c>
      <c r="D86" s="34" t="s">
        <v>376</v>
      </c>
      <c r="E86" s="42">
        <v>1967770.9000000001</v>
      </c>
      <c r="F86" s="42">
        <v>227068.88832259961</v>
      </c>
      <c r="G86" s="42">
        <v>1740702.0116774</v>
      </c>
      <c r="H86" s="20"/>
    </row>
    <row r="87" spans="1:8" x14ac:dyDescent="0.2">
      <c r="A87" s="34"/>
      <c r="B87" s="34"/>
      <c r="C87" s="34" t="s">
        <v>377</v>
      </c>
      <c r="D87" s="34" t="s">
        <v>378</v>
      </c>
      <c r="E87" s="42">
        <v>490926.62</v>
      </c>
      <c r="F87" s="42">
        <v>56602.718690999973</v>
      </c>
      <c r="G87" s="42">
        <v>434323.90130899992</v>
      </c>
      <c r="H87" s="20"/>
    </row>
    <row r="88" spans="1:8" x14ac:dyDescent="0.2">
      <c r="A88" s="34"/>
      <c r="B88" s="34"/>
      <c r="C88" s="34" t="s">
        <v>379</v>
      </c>
      <c r="D88" s="34" t="s">
        <v>380</v>
      </c>
      <c r="E88" s="113">
        <v>0</v>
      </c>
      <c r="F88" s="113">
        <v>0</v>
      </c>
      <c r="G88" s="113">
        <v>0</v>
      </c>
    </row>
    <row r="89" spans="1:8" x14ac:dyDescent="0.2">
      <c r="A89" s="34"/>
      <c r="B89" s="34"/>
      <c r="C89" s="34"/>
      <c r="D89" s="34" t="s">
        <v>381</v>
      </c>
      <c r="E89" s="41">
        <f>SUM(E85:E88)</f>
        <v>2564458.5100000002</v>
      </c>
      <c r="F89" s="41">
        <f t="shared" ref="F89:G89" si="7">SUM(F85:F88)</f>
        <v>295865.84916059958</v>
      </c>
      <c r="G89" s="41">
        <f t="shared" si="7"/>
        <v>2268592.6608393998</v>
      </c>
      <c r="H89" s="20"/>
    </row>
    <row r="90" spans="1:8" x14ac:dyDescent="0.2">
      <c r="A90" s="34"/>
      <c r="B90" s="34"/>
      <c r="C90" s="34"/>
      <c r="D90" s="34"/>
      <c r="E90" s="41"/>
      <c r="F90" s="41"/>
      <c r="G90" s="41"/>
      <c r="H90" s="20"/>
    </row>
    <row r="91" spans="1:8" x14ac:dyDescent="0.2">
      <c r="A91" s="34" t="s">
        <v>382</v>
      </c>
      <c r="B91" s="34"/>
      <c r="C91" s="34"/>
      <c r="D91" s="34"/>
      <c r="E91" s="41"/>
      <c r="F91" s="41"/>
      <c r="G91" s="41"/>
      <c r="H91" s="20"/>
    </row>
    <row r="92" spans="1:8" x14ac:dyDescent="0.2">
      <c r="A92" s="34"/>
      <c r="B92" s="34"/>
      <c r="C92" s="34" t="s">
        <v>300</v>
      </c>
      <c r="D92" s="34"/>
      <c r="E92" s="41"/>
      <c r="F92" s="41"/>
      <c r="G92" s="41"/>
      <c r="H92" s="20"/>
    </row>
    <row r="93" spans="1:8" x14ac:dyDescent="0.2">
      <c r="A93" s="34"/>
      <c r="B93" s="34"/>
      <c r="C93" s="34" t="s">
        <v>383</v>
      </c>
      <c r="D93" s="34" t="s">
        <v>384</v>
      </c>
      <c r="E93" s="42">
        <v>69094832.74999994</v>
      </c>
      <c r="F93" s="42">
        <v>7938075.5154280318</v>
      </c>
      <c r="G93" s="42">
        <v>61156757.234571956</v>
      </c>
      <c r="H93" s="329"/>
    </row>
    <row r="94" spans="1:8" x14ac:dyDescent="0.2">
      <c r="A94" s="34"/>
      <c r="B94" s="34"/>
      <c r="C94" s="34" t="s">
        <v>385</v>
      </c>
      <c r="D94" s="34" t="s">
        <v>386</v>
      </c>
      <c r="E94" s="42">
        <v>-22544531</v>
      </c>
      <c r="F94" s="42">
        <v>-2522525.4626542605</v>
      </c>
      <c r="G94" s="42">
        <v>-20022005.537345741</v>
      </c>
      <c r="H94" s="329"/>
    </row>
    <row r="95" spans="1:8" x14ac:dyDescent="0.2">
      <c r="A95" s="34"/>
      <c r="B95" s="34"/>
      <c r="C95" s="34" t="s">
        <v>387</v>
      </c>
      <c r="D95" s="34" t="s">
        <v>388</v>
      </c>
      <c r="E95" s="42">
        <v>3629753.9799999991</v>
      </c>
      <c r="F95" s="42">
        <v>397821.03620800003</v>
      </c>
      <c r="G95" s="42">
        <v>3231932.9437919995</v>
      </c>
      <c r="H95" s="329"/>
    </row>
    <row r="96" spans="1:8" x14ac:dyDescent="0.2">
      <c r="A96" s="34"/>
      <c r="B96" s="34"/>
      <c r="C96" s="34" t="s">
        <v>389</v>
      </c>
      <c r="D96" s="34" t="s">
        <v>390</v>
      </c>
      <c r="E96" s="42">
        <v>159831.29999999996</v>
      </c>
      <c r="F96" s="42">
        <v>17517.510480000004</v>
      </c>
      <c r="G96" s="42">
        <v>142313.78951999996</v>
      </c>
      <c r="H96" s="329"/>
    </row>
    <row r="97" spans="1:9" x14ac:dyDescent="0.2">
      <c r="A97" s="34"/>
      <c r="B97" s="34"/>
      <c r="C97" s="34" t="s">
        <v>391</v>
      </c>
      <c r="D97" s="34" t="s">
        <v>392</v>
      </c>
      <c r="E97" s="42">
        <v>25566573.509999998</v>
      </c>
      <c r="F97" s="42">
        <v>2024921.9384282553</v>
      </c>
      <c r="G97" s="42">
        <v>23541651.571571749</v>
      </c>
      <c r="H97" s="20"/>
    </row>
    <row r="98" spans="1:9" x14ac:dyDescent="0.2">
      <c r="A98" s="34"/>
      <c r="B98" s="34"/>
      <c r="C98" s="34" t="s">
        <v>393</v>
      </c>
      <c r="D98" s="34" t="s">
        <v>394</v>
      </c>
      <c r="E98" s="42">
        <v>0</v>
      </c>
      <c r="F98" s="42">
        <v>0</v>
      </c>
      <c r="G98" s="42">
        <v>0</v>
      </c>
      <c r="H98" s="20"/>
    </row>
    <row r="99" spans="1:9" x14ac:dyDescent="0.2">
      <c r="A99" s="34"/>
      <c r="B99" s="34"/>
      <c r="C99" s="34" t="s">
        <v>395</v>
      </c>
      <c r="D99" s="34" t="s">
        <v>396</v>
      </c>
      <c r="E99" s="42">
        <v>3228456.48</v>
      </c>
      <c r="F99" s="42">
        <v>354132.59425378992</v>
      </c>
      <c r="G99" s="42">
        <v>2874323.885746209</v>
      </c>
    </row>
    <row r="100" spans="1:9" x14ac:dyDescent="0.2">
      <c r="A100" s="34"/>
      <c r="B100" s="34"/>
      <c r="C100" s="34" t="s">
        <v>397</v>
      </c>
      <c r="D100" s="34" t="s">
        <v>342</v>
      </c>
      <c r="E100" s="42">
        <v>4873764.79</v>
      </c>
      <c r="F100" s="42">
        <v>532521.36474400014</v>
      </c>
      <c r="G100" s="42">
        <v>4341243.4252559999</v>
      </c>
      <c r="H100" s="20"/>
    </row>
    <row r="101" spans="1:9" x14ac:dyDescent="0.2">
      <c r="A101" s="34"/>
      <c r="B101" s="34"/>
      <c r="C101" s="34"/>
      <c r="D101" s="34"/>
      <c r="E101" s="42"/>
      <c r="F101" s="42"/>
      <c r="G101" s="42"/>
      <c r="H101" s="20"/>
    </row>
    <row r="102" spans="1:9" x14ac:dyDescent="0.2">
      <c r="A102" s="34"/>
      <c r="B102" s="34"/>
      <c r="C102" s="34" t="s">
        <v>309</v>
      </c>
      <c r="D102" s="34"/>
      <c r="E102" s="42"/>
      <c r="F102" s="42"/>
      <c r="G102" s="42"/>
      <c r="H102" s="20"/>
    </row>
    <row r="103" spans="1:9" x14ac:dyDescent="0.2">
      <c r="A103" s="34"/>
      <c r="B103" s="34"/>
      <c r="C103" s="34" t="s">
        <v>398</v>
      </c>
      <c r="D103" s="34" t="s">
        <v>399</v>
      </c>
      <c r="E103" s="42">
        <v>5260424.870000002</v>
      </c>
      <c r="F103" s="42">
        <v>551383.44626998785</v>
      </c>
      <c r="G103" s="42">
        <v>4709041.4237300185</v>
      </c>
      <c r="H103" s="20"/>
    </row>
    <row r="104" spans="1:9" x14ac:dyDescent="0.2">
      <c r="A104" s="34"/>
      <c r="B104" s="34"/>
      <c r="C104" s="34"/>
      <c r="D104" s="34"/>
      <c r="E104" s="274"/>
      <c r="F104" s="274"/>
      <c r="G104" s="274"/>
      <c r="H104" s="20"/>
    </row>
    <row r="105" spans="1:9" x14ac:dyDescent="0.2">
      <c r="A105" s="34"/>
      <c r="B105" s="34"/>
      <c r="C105" s="34"/>
      <c r="D105" s="34" t="s">
        <v>400</v>
      </c>
      <c r="E105" s="41">
        <f>SUM(E93:E104)</f>
        <v>89269106.679999948</v>
      </c>
      <c r="F105" s="41">
        <f t="shared" ref="F105:G105" si="8">SUM(F93:F104)</f>
        <v>9293847.9431578033</v>
      </c>
      <c r="G105" s="41">
        <f t="shared" si="8"/>
        <v>79975258.736842185</v>
      </c>
      <c r="H105" s="20"/>
    </row>
    <row r="106" spans="1:9" x14ac:dyDescent="0.2">
      <c r="A106" s="34"/>
      <c r="B106" s="34"/>
      <c r="C106" s="34"/>
      <c r="D106" s="34"/>
      <c r="E106" s="274"/>
      <c r="F106" s="274"/>
      <c r="G106" s="274"/>
      <c r="H106" s="20"/>
    </row>
    <row r="107" spans="1:9" ht="15.75" thickBot="1" x14ac:dyDescent="0.25">
      <c r="A107" s="34"/>
      <c r="B107" s="34"/>
      <c r="C107" s="34"/>
      <c r="D107" s="34" t="s">
        <v>401</v>
      </c>
      <c r="E107" s="335">
        <f>E105+E89+E81+E73+E65+E42+E34+E23+E18</f>
        <v>181263830.00999996</v>
      </c>
      <c r="F107" s="335">
        <f t="shared" ref="F107:G107" si="9">F105+F89+F81+F73+F65+F42+F34+F23+F18</f>
        <v>18859921.359738555</v>
      </c>
      <c r="G107" s="335">
        <f t="shared" si="9"/>
        <v>162403908.65026143</v>
      </c>
      <c r="I107" s="329"/>
    </row>
    <row r="108" spans="1:9" ht="15.75" thickTop="1" x14ac:dyDescent="0.2">
      <c r="D108" s="43" t="s">
        <v>480</v>
      </c>
      <c r="E108" s="281">
        <f>SUM(F108:G108)</f>
        <v>1.0000000000000002</v>
      </c>
      <c r="F108" s="44">
        <f>+F107/E107</f>
        <v>0.10404679940117172</v>
      </c>
      <c r="G108" s="44">
        <f>+G107/E107</f>
        <v>0.89595320059882844</v>
      </c>
    </row>
    <row r="110" spans="1:9" x14ac:dyDescent="0.2">
      <c r="A110" s="43" t="s">
        <v>478</v>
      </c>
      <c r="B110" s="45" t="s">
        <v>479</v>
      </c>
      <c r="C110" s="46"/>
      <c r="D110" s="46"/>
    </row>
    <row r="111" spans="1:9" x14ac:dyDescent="0.2">
      <c r="B111" s="45" t="s">
        <v>464</v>
      </c>
      <c r="C111" s="46"/>
      <c r="D111" s="46"/>
    </row>
  </sheetData>
  <customSheetViews>
    <customSheetView guid="{A7BD13BF-7E57-44D7-9B02-43E2FA430390}" showPageBreaks="1" fitToPage="1" printArea="1">
      <selection activeCell="F72" sqref="F72"/>
      <pageMargins left="0.75" right="0.75" top="1" bottom="1" header="0.5" footer="0.5"/>
      <printOptions horizontalCentered="1"/>
      <pageSetup scale="70" fitToHeight="2" orientation="portrait" r:id="rId1"/>
      <headerFooter alignWithMargins="0"/>
    </customSheetView>
    <customSheetView guid="{C29552AC-6B79-447F-B962-713ED43BDF1A}" showPageBreaks="1" fitToPage="1" printArea="1" topLeftCell="A82">
      <selection activeCell="F110" sqref="F110"/>
      <pageMargins left="0.75" right="0.75" top="1" bottom="1" header="0.5" footer="0.5"/>
      <printOptions horizontalCentered="1"/>
      <pageSetup scale="71" fitToHeight="2" orientation="portrait" r:id="rId2"/>
      <headerFooter alignWithMargins="0"/>
    </customSheetView>
    <customSheetView guid="{6ED201AA-AB2E-4FE7-B06B-B07932512C4D}" showPageBreaks="1" fitToPage="1" printArea="1" topLeftCell="A86">
      <selection activeCell="E111" sqref="E111"/>
      <pageMargins left="0.75" right="0.75" top="1" bottom="1" header="0.5" footer="0.5"/>
      <printOptions horizontalCentered="1"/>
      <pageSetup scale="70" fitToHeight="2" orientation="portrait" r:id="rId3"/>
      <headerFooter alignWithMargins="0"/>
    </customSheetView>
    <customSheetView guid="{D711E10B-9441-4991-A2CB-ED400E35790D}" fitToPage="1">
      <selection activeCell="F72" sqref="F72"/>
      <pageMargins left="0.75" right="0.75" top="1" bottom="1" header="0.5" footer="0.5"/>
      <printOptions horizontalCentered="1"/>
      <pageSetup scale="70" fitToHeight="2" orientation="portrait" r:id="rId4"/>
      <headerFooter alignWithMargins="0"/>
    </customSheetView>
  </customSheetViews>
  <phoneticPr fontId="5" type="noConversion"/>
  <printOptions horizontalCentered="1"/>
  <pageMargins left="0.75" right="0.75" top="1" bottom="1" header="0.5" footer="0.5"/>
  <pageSetup scale="81" fitToHeight="2" orientation="portrait" r:id="rId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5" tint="0.59999389629810485"/>
  </sheetPr>
  <dimension ref="A1:J32"/>
  <sheetViews>
    <sheetView showGridLines="0" zoomScaleNormal="100" workbookViewId="0">
      <selection activeCell="B37" sqref="B37"/>
    </sheetView>
  </sheetViews>
  <sheetFormatPr defaultColWidth="9.140625" defaultRowHeight="15" x14ac:dyDescent="0.2"/>
  <cols>
    <col min="1" max="1" width="4.7109375" style="1" customWidth="1"/>
    <col min="2" max="2" width="36.7109375" style="1" customWidth="1"/>
    <col min="3" max="4" width="18.5703125" style="68" customWidth="1"/>
    <col min="5" max="5" width="26" style="8" bestFit="1" customWidth="1"/>
    <col min="6" max="6" width="10.140625" style="8" bestFit="1" customWidth="1"/>
    <col min="7" max="9" width="9.140625" style="8"/>
    <col min="10" max="10" width="10.5703125" style="8" bestFit="1" customWidth="1"/>
    <col min="11" max="16384" width="9.140625" style="8"/>
  </cols>
  <sheetData>
    <row r="1" spans="1:10" x14ac:dyDescent="0.2">
      <c r="A1" s="1" t="s">
        <v>0</v>
      </c>
      <c r="D1" s="5" t="s">
        <v>589</v>
      </c>
    </row>
    <row r="2" spans="1:10" x14ac:dyDescent="0.2">
      <c r="A2" s="3" t="s">
        <v>481</v>
      </c>
      <c r="D2" s="5" t="s">
        <v>591</v>
      </c>
    </row>
    <row r="3" spans="1:10" x14ac:dyDescent="0.2">
      <c r="A3" s="1" t="s">
        <v>562</v>
      </c>
    </row>
    <row r="6" spans="1:10" x14ac:dyDescent="0.2">
      <c r="A6" s="356"/>
      <c r="B6" s="253"/>
      <c r="C6" s="339" t="s">
        <v>9</v>
      </c>
      <c r="D6" s="339" t="s">
        <v>8</v>
      </c>
    </row>
    <row r="7" spans="1:10" x14ac:dyDescent="0.2">
      <c r="A7" s="339"/>
      <c r="B7" s="60"/>
      <c r="C7" s="357"/>
      <c r="D7" s="382"/>
    </row>
    <row r="8" spans="1:10" x14ac:dyDescent="0.2">
      <c r="A8" s="339">
        <v>1</v>
      </c>
      <c r="B8" s="356" t="s">
        <v>52</v>
      </c>
      <c r="C8" s="383">
        <f>1-D8</f>
        <v>0.88470000000000004</v>
      </c>
      <c r="D8" s="383">
        <v>0.11529999999999996</v>
      </c>
      <c r="E8" s="69"/>
      <c r="F8" s="9"/>
      <c r="G8" s="9"/>
      <c r="H8" s="63"/>
      <c r="I8" s="64"/>
      <c r="J8" s="428"/>
    </row>
    <row r="9" spans="1:10" x14ac:dyDescent="0.2">
      <c r="A9" s="339">
        <v>2</v>
      </c>
      <c r="B9" s="356" t="s">
        <v>426</v>
      </c>
      <c r="C9" s="383">
        <f t="shared" ref="C9:C32" si="0">1-D9</f>
        <v>0.88360000000000005</v>
      </c>
      <c r="D9" s="383">
        <v>0.11639999999999995</v>
      </c>
      <c r="E9" s="69"/>
      <c r="F9" s="9"/>
      <c r="G9" s="9"/>
      <c r="H9" s="63"/>
      <c r="I9" s="64"/>
      <c r="J9" s="428"/>
    </row>
    <row r="10" spans="1:10" x14ac:dyDescent="0.2">
      <c r="A10" s="339">
        <v>3</v>
      </c>
      <c r="B10" s="356" t="s">
        <v>427</v>
      </c>
      <c r="C10" s="383">
        <f t="shared" si="0"/>
        <v>0.8952</v>
      </c>
      <c r="D10" s="383">
        <v>0.1048</v>
      </c>
      <c r="E10" s="69"/>
      <c r="F10" s="9"/>
      <c r="G10" s="9"/>
      <c r="H10" s="63"/>
      <c r="I10" s="64"/>
      <c r="J10" s="428"/>
    </row>
    <row r="11" spans="1:10" x14ac:dyDescent="0.2">
      <c r="A11" s="339">
        <v>4</v>
      </c>
      <c r="B11" s="356" t="s">
        <v>428</v>
      </c>
      <c r="C11" s="383">
        <f t="shared" si="0"/>
        <v>0.91459999999999997</v>
      </c>
      <c r="D11" s="383">
        <v>8.5400000000000031E-2</v>
      </c>
      <c r="E11" s="69"/>
      <c r="F11" s="9"/>
      <c r="G11" s="9"/>
      <c r="H11" s="63"/>
      <c r="I11" s="64"/>
      <c r="J11" s="428"/>
    </row>
    <row r="12" spans="1:10" x14ac:dyDescent="0.2">
      <c r="A12" s="339">
        <v>5</v>
      </c>
      <c r="B12" s="356" t="s">
        <v>183</v>
      </c>
      <c r="C12" s="383">
        <f t="shared" si="0"/>
        <v>0.74819999999999998</v>
      </c>
      <c r="D12" s="383">
        <v>0.25180000000000002</v>
      </c>
      <c r="E12" s="69"/>
      <c r="F12" s="9"/>
      <c r="G12" s="9"/>
      <c r="H12" s="63"/>
      <c r="I12" s="64"/>
      <c r="J12" s="428"/>
    </row>
    <row r="13" spans="1:10" x14ac:dyDescent="0.2">
      <c r="A13" s="339">
        <v>6</v>
      </c>
      <c r="B13" s="356" t="s">
        <v>101</v>
      </c>
      <c r="C13" s="383">
        <f t="shared" si="0"/>
        <v>0.89039999999999997</v>
      </c>
      <c r="D13" s="383">
        <v>0.10960000000000003</v>
      </c>
      <c r="E13" s="69"/>
      <c r="F13" s="9"/>
      <c r="G13" s="9"/>
      <c r="H13" s="63"/>
      <c r="I13" s="64"/>
      <c r="J13" s="428"/>
    </row>
    <row r="14" spans="1:10" x14ac:dyDescent="0.2">
      <c r="A14" s="339">
        <v>7</v>
      </c>
      <c r="B14" s="356" t="s">
        <v>184</v>
      </c>
      <c r="C14" s="383">
        <f t="shared" si="0"/>
        <v>0.89190000000000003</v>
      </c>
      <c r="D14" s="383">
        <v>0.10809999999999997</v>
      </c>
      <c r="E14" s="69"/>
      <c r="F14" s="9"/>
      <c r="G14" s="9"/>
      <c r="H14" s="63"/>
      <c r="I14" s="64"/>
      <c r="J14" s="428"/>
    </row>
    <row r="15" spans="1:10" x14ac:dyDescent="0.2">
      <c r="A15" s="339">
        <v>8</v>
      </c>
      <c r="B15" s="356" t="s">
        <v>185</v>
      </c>
      <c r="C15" s="383">
        <f t="shared" si="0"/>
        <v>0.89700000000000002</v>
      </c>
      <c r="D15" s="383">
        <v>0.10299999999999998</v>
      </c>
      <c r="E15" s="69"/>
      <c r="F15" s="9"/>
      <c r="G15" s="9"/>
      <c r="H15" s="63"/>
      <c r="I15" s="64"/>
      <c r="J15" s="428"/>
    </row>
    <row r="16" spans="1:10" x14ac:dyDescent="0.2">
      <c r="A16" s="339">
        <v>9</v>
      </c>
      <c r="B16" s="356" t="s">
        <v>186</v>
      </c>
      <c r="C16" s="383">
        <f t="shared" si="0"/>
        <v>0.91439999999999999</v>
      </c>
      <c r="D16" s="383">
        <v>8.5600000000000009E-2</v>
      </c>
      <c r="E16" s="69"/>
      <c r="F16" s="9"/>
      <c r="G16" s="9"/>
      <c r="H16" s="63"/>
      <c r="I16" s="64"/>
      <c r="J16" s="428"/>
    </row>
    <row r="17" spans="1:10" x14ac:dyDescent="0.2">
      <c r="A17" s="339">
        <v>10</v>
      </c>
      <c r="B17" s="356" t="s">
        <v>187</v>
      </c>
      <c r="C17" s="383">
        <f t="shared" si="0"/>
        <v>0.90569999999999995</v>
      </c>
      <c r="D17" s="383">
        <v>9.430000000000005E-2</v>
      </c>
      <c r="E17" s="69"/>
      <c r="F17" s="9"/>
      <c r="G17" s="9"/>
      <c r="H17" s="63"/>
      <c r="I17" s="64"/>
      <c r="J17" s="428"/>
    </row>
    <row r="18" spans="1:10" x14ac:dyDescent="0.2">
      <c r="A18" s="339">
        <v>14</v>
      </c>
      <c r="B18" s="425" t="s">
        <v>23</v>
      </c>
      <c r="C18" s="427">
        <f>1-D18</f>
        <v>0.89972600000000003</v>
      </c>
      <c r="D18" s="383">
        <v>0.100274</v>
      </c>
      <c r="E18" s="69"/>
      <c r="F18" s="9"/>
      <c r="G18" s="9"/>
      <c r="H18" s="63"/>
      <c r="I18" s="64"/>
      <c r="J18" s="428"/>
    </row>
    <row r="19" spans="1:10" x14ac:dyDescent="0.2">
      <c r="A19" s="339">
        <v>15</v>
      </c>
      <c r="B19" s="425" t="s">
        <v>429</v>
      </c>
      <c r="C19" s="427">
        <f t="shared" si="0"/>
        <v>0.88721899999999998</v>
      </c>
      <c r="D19" s="383">
        <v>0.11278100000000001</v>
      </c>
      <c r="E19" s="69"/>
      <c r="F19" s="9"/>
      <c r="G19" s="9"/>
      <c r="H19" s="63"/>
      <c r="I19" s="64"/>
      <c r="J19" s="428"/>
    </row>
    <row r="20" spans="1:10" x14ac:dyDescent="0.2">
      <c r="A20" s="339">
        <v>16</v>
      </c>
      <c r="B20" s="426" t="s">
        <v>148</v>
      </c>
      <c r="C20" s="427">
        <f t="shared" si="0"/>
        <v>0.89011200000000001</v>
      </c>
      <c r="D20" s="383">
        <v>0.109888</v>
      </c>
      <c r="E20" s="69"/>
      <c r="F20" s="9"/>
      <c r="G20" s="9"/>
      <c r="H20" s="63"/>
      <c r="I20" s="64"/>
      <c r="J20" s="428"/>
    </row>
    <row r="21" spans="1:10" x14ac:dyDescent="0.2">
      <c r="A21" s="339">
        <v>17</v>
      </c>
      <c r="B21" s="60" t="s">
        <v>189</v>
      </c>
      <c r="C21" s="383">
        <f t="shared" si="0"/>
        <v>0.7</v>
      </c>
      <c r="D21" s="383">
        <v>0.30000000000000004</v>
      </c>
      <c r="E21" s="69"/>
      <c r="F21" s="9"/>
      <c r="G21" s="9"/>
      <c r="H21" s="63"/>
      <c r="I21" s="64"/>
      <c r="J21" s="428"/>
    </row>
    <row r="22" spans="1:10" x14ac:dyDescent="0.2">
      <c r="A22" s="339">
        <v>18</v>
      </c>
      <c r="B22" s="60" t="s">
        <v>190</v>
      </c>
      <c r="C22" s="383">
        <f t="shared" si="0"/>
        <v>0.88888888888888884</v>
      </c>
      <c r="D22" s="383">
        <v>0.11111111111111116</v>
      </c>
      <c r="E22" s="69"/>
      <c r="F22" s="9"/>
      <c r="G22" s="9"/>
      <c r="H22" s="63"/>
      <c r="I22" s="64"/>
      <c r="J22" s="428"/>
    </row>
    <row r="23" spans="1:10" x14ac:dyDescent="0.2">
      <c r="A23" s="339">
        <v>19</v>
      </c>
      <c r="B23" s="356" t="s">
        <v>191</v>
      </c>
      <c r="C23" s="383">
        <f t="shared" si="0"/>
        <v>0</v>
      </c>
      <c r="D23" s="383">
        <v>1</v>
      </c>
      <c r="E23" s="69"/>
      <c r="F23" s="9"/>
      <c r="G23" s="9"/>
      <c r="H23" s="63"/>
      <c r="I23" s="64"/>
      <c r="J23" s="428"/>
    </row>
    <row r="24" spans="1:10" x14ac:dyDescent="0.2">
      <c r="A24" s="339">
        <v>20</v>
      </c>
      <c r="B24" s="356" t="s">
        <v>192</v>
      </c>
      <c r="C24" s="383">
        <f t="shared" si="0"/>
        <v>1</v>
      </c>
      <c r="D24" s="383">
        <v>0</v>
      </c>
      <c r="E24" s="69"/>
      <c r="F24" s="9"/>
      <c r="G24" s="9"/>
      <c r="H24" s="63"/>
      <c r="I24" s="64"/>
      <c r="J24" s="428"/>
    </row>
    <row r="25" spans="1:10" x14ac:dyDescent="0.2">
      <c r="A25" s="339">
        <v>21</v>
      </c>
      <c r="B25" s="60" t="s">
        <v>193</v>
      </c>
      <c r="C25" s="383">
        <f t="shared" si="0"/>
        <v>0.88029999999999997</v>
      </c>
      <c r="D25" s="383">
        <v>0.11970000000000003</v>
      </c>
      <c r="E25" s="69"/>
      <c r="F25" s="9"/>
      <c r="G25" s="9"/>
      <c r="H25" s="63"/>
      <c r="I25" s="64"/>
      <c r="J25" s="428"/>
    </row>
    <row r="26" spans="1:10" x14ac:dyDescent="0.2">
      <c r="A26" s="339">
        <v>22</v>
      </c>
      <c r="B26" s="60" t="s">
        <v>175</v>
      </c>
      <c r="C26" s="383">
        <f t="shared" si="0"/>
        <v>0.98777901275695978</v>
      </c>
      <c r="D26" s="383">
        <v>1.2220987243040216E-2</v>
      </c>
      <c r="E26" s="69"/>
      <c r="F26" s="9"/>
      <c r="G26" s="9"/>
      <c r="H26" s="63"/>
      <c r="I26" s="64"/>
      <c r="J26" s="428"/>
    </row>
    <row r="27" spans="1:10" x14ac:dyDescent="0.2">
      <c r="A27" s="339">
        <v>23</v>
      </c>
      <c r="B27" s="358" t="s">
        <v>194</v>
      </c>
      <c r="C27" s="383">
        <f t="shared" si="0"/>
        <v>0.88443916716336679</v>
      </c>
      <c r="D27" s="383">
        <v>0.11556083283663321</v>
      </c>
      <c r="E27" s="69"/>
      <c r="F27" s="9"/>
      <c r="G27" s="9"/>
      <c r="H27" s="63"/>
      <c r="I27" s="64"/>
      <c r="J27" s="428"/>
    </row>
    <row r="28" spans="1:10" x14ac:dyDescent="0.2">
      <c r="A28" s="339">
        <v>25</v>
      </c>
      <c r="B28" s="43" t="s">
        <v>176</v>
      </c>
      <c r="C28" s="383">
        <f t="shared" si="0"/>
        <v>0.85734874535595984</v>
      </c>
      <c r="D28" s="383">
        <v>0.14265125464404022</v>
      </c>
      <c r="E28" s="69"/>
      <c r="F28" s="9"/>
      <c r="G28" s="9"/>
      <c r="H28" s="63"/>
      <c r="I28" s="64"/>
      <c r="J28" s="428"/>
    </row>
    <row r="29" spans="1:10" x14ac:dyDescent="0.2">
      <c r="A29" s="339">
        <v>26</v>
      </c>
      <c r="B29" s="43" t="s">
        <v>430</v>
      </c>
      <c r="C29" s="383">
        <f t="shared" si="0"/>
        <v>0.9375</v>
      </c>
      <c r="D29" s="383">
        <v>6.25E-2</v>
      </c>
      <c r="E29" s="69"/>
      <c r="F29" s="9"/>
      <c r="G29" s="9"/>
      <c r="H29" s="63"/>
      <c r="I29" s="64"/>
      <c r="J29" s="428"/>
    </row>
    <row r="30" spans="1:10" x14ac:dyDescent="0.2">
      <c r="A30" s="339">
        <v>27</v>
      </c>
      <c r="B30" s="43" t="s">
        <v>482</v>
      </c>
      <c r="C30" s="383">
        <f t="shared" si="0"/>
        <v>0.96679999999999999</v>
      </c>
      <c r="D30" s="383">
        <v>3.3200000000000007E-2</v>
      </c>
      <c r="F30" s="9"/>
      <c r="G30" s="9"/>
      <c r="H30" s="63"/>
      <c r="I30" s="64"/>
      <c r="J30" s="428"/>
    </row>
    <row r="31" spans="1:10" x14ac:dyDescent="0.2">
      <c r="A31" s="339">
        <v>28</v>
      </c>
      <c r="B31" s="43" t="s">
        <v>173</v>
      </c>
      <c r="C31" s="383">
        <f t="shared" si="0"/>
        <v>0.86480682756809357</v>
      </c>
      <c r="D31" s="383">
        <v>0.13519317243190643</v>
      </c>
      <c r="F31" s="9"/>
      <c r="G31" s="9"/>
      <c r="H31" s="63"/>
      <c r="I31" s="64"/>
      <c r="J31" s="428"/>
    </row>
    <row r="32" spans="1:10" x14ac:dyDescent="0.2">
      <c r="A32" s="339">
        <v>29</v>
      </c>
      <c r="B32" s="43" t="s">
        <v>92</v>
      </c>
      <c r="C32" s="383">
        <f t="shared" si="0"/>
        <v>0.89327933302276075</v>
      </c>
      <c r="D32" s="383">
        <v>0.1067206669772393</v>
      </c>
      <c r="F32" s="9"/>
      <c r="G32" s="9"/>
      <c r="H32" s="63"/>
      <c r="I32" s="64"/>
      <c r="J32" s="428"/>
    </row>
  </sheetData>
  <customSheetViews>
    <customSheetView guid="{A7BD13BF-7E57-44D7-9B02-43E2FA430390}" showPageBreaks="1" showGridLines="0">
      <selection activeCell="I15" sqref="I15"/>
      <pageMargins left="0.5" right="0.5" top="0.5" bottom="0.5" header="0.25" footer="0.25"/>
      <printOptions horizontalCentered="1"/>
      <pageSetup scale="66" fitToHeight="2" orientation="landscape" r:id="rId1"/>
      <headerFooter alignWithMargins="0"/>
    </customSheetView>
    <customSheetView guid="{C29552AC-6B79-447F-B962-713ED43BDF1A}" showPageBreaks="1" printArea="1">
      <selection activeCell="J7" sqref="J7"/>
      <pageMargins left="0.5" right="0.5" top="0.5" bottom="0.5" header="0.25" footer="0.25"/>
      <printOptions horizontalCentered="1"/>
      <pageSetup scale="66" fitToHeight="2" orientation="landscape" r:id="rId2"/>
      <headerFooter alignWithMargins="0"/>
    </customSheetView>
    <customSheetView guid="{6ED201AA-AB2E-4FE7-B06B-B07932512C4D}" showPageBreaks="1" printArea="1">
      <selection activeCell="D20" sqref="D20"/>
      <pageMargins left="0.5" right="0.5" top="0.5" bottom="0.5" header="0.25" footer="0.25"/>
      <printOptions horizontalCentered="1"/>
      <pageSetup scale="66" fitToHeight="2" orientation="landscape" r:id="rId3"/>
      <headerFooter alignWithMargins="0"/>
    </customSheetView>
    <customSheetView guid="{D711E10B-9441-4991-A2CB-ED400E35790D}" showGridLines="0">
      <selection activeCell="D18" sqref="D18"/>
      <pageMargins left="0.5" right="0.5" top="0.5" bottom="0.5" header="0.25" footer="0.25"/>
      <printOptions horizontalCentered="1"/>
      <pageSetup scale="66" fitToHeight="2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66" fitToHeight="2" orientation="landscape" r:id="rId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 tint="0.59999389629810485"/>
    <pageSetUpPr fitToPage="1"/>
  </sheetPr>
  <dimension ref="A1:H28"/>
  <sheetViews>
    <sheetView topLeftCell="A4" workbookViewId="0">
      <selection activeCell="R17" sqref="R17"/>
    </sheetView>
  </sheetViews>
  <sheetFormatPr defaultColWidth="9.140625" defaultRowHeight="15" x14ac:dyDescent="0.2"/>
  <cols>
    <col min="1" max="1" width="5.7109375" style="1" customWidth="1"/>
    <col min="2" max="2" width="50" style="1" customWidth="1"/>
    <col min="3" max="3" width="14.7109375" style="8" customWidth="1"/>
    <col min="4" max="4" width="12.28515625" style="8" customWidth="1"/>
    <col min="5" max="5" width="19.5703125" style="8" customWidth="1"/>
    <col min="6" max="6" width="4.140625" style="8" customWidth="1"/>
    <col min="7" max="7" width="9.140625" style="8"/>
    <col min="8" max="8" width="12.5703125" style="8" bestFit="1" customWidth="1"/>
    <col min="9" max="16384" width="9.140625" style="8"/>
  </cols>
  <sheetData>
    <row r="1" spans="1:8" s="1" customFormat="1" x14ac:dyDescent="0.2">
      <c r="A1" s="1" t="s">
        <v>0</v>
      </c>
      <c r="C1" s="5" t="s">
        <v>589</v>
      </c>
    </row>
    <row r="2" spans="1:8" s="1" customFormat="1" x14ac:dyDescent="0.2">
      <c r="A2" s="1" t="str">
        <f>'KTW-4,5,8 p1 - Adjust Issues'!A3</f>
        <v>Test Year Based on Twelve Months Ended September 30, 2020</v>
      </c>
      <c r="C2" s="5" t="s">
        <v>614</v>
      </c>
    </row>
    <row r="3" spans="1:8" s="1" customFormat="1" x14ac:dyDescent="0.2">
      <c r="A3" s="1" t="s">
        <v>3</v>
      </c>
    </row>
    <row r="4" spans="1:8" s="1" customFormat="1" x14ac:dyDescent="0.2"/>
    <row r="5" spans="1:8" s="1" customFormat="1" x14ac:dyDescent="0.2">
      <c r="A5" s="449" t="s">
        <v>8</v>
      </c>
      <c r="B5" s="449"/>
      <c r="C5" s="449"/>
    </row>
    <row r="6" spans="1:8" s="1" customFormat="1" x14ac:dyDescent="0.2"/>
    <row r="7" spans="1:8" s="1" customFormat="1" x14ac:dyDescent="0.2">
      <c r="A7" s="5" t="s">
        <v>15</v>
      </c>
    </row>
    <row r="8" spans="1:8" s="1" customFormat="1" x14ac:dyDescent="0.2">
      <c r="A8" s="370" t="s">
        <v>31</v>
      </c>
      <c r="B8" s="43"/>
      <c r="C8" s="370" t="s">
        <v>50</v>
      </c>
      <c r="D8" s="43"/>
      <c r="E8" s="43"/>
      <c r="F8" s="43"/>
    </row>
    <row r="9" spans="1:8" s="1" customFormat="1" x14ac:dyDescent="0.2">
      <c r="A9" s="273"/>
      <c r="C9" s="374" t="s">
        <v>55</v>
      </c>
    </row>
    <row r="10" spans="1:8" x14ac:dyDescent="0.2">
      <c r="A10" s="5"/>
    </row>
    <row r="11" spans="1:8" x14ac:dyDescent="0.2">
      <c r="A11" s="5">
        <v>1</v>
      </c>
      <c r="B11" s="1" t="s">
        <v>78</v>
      </c>
      <c r="C11" s="11">
        <f>'KTW-2 - Rev Req'!C16-'KTW-2 - Rev Req'!C23-'KTW-2 - Rev Req'!C27-'KTW-2 - Rev Req'!C28-'KTW-2 - Rev Req'!C29</f>
        <v>12268246.799986228</v>
      </c>
    </row>
    <row r="12" spans="1:8" x14ac:dyDescent="0.2">
      <c r="A12" s="5"/>
      <c r="C12" s="27"/>
    </row>
    <row r="13" spans="1:8" x14ac:dyDescent="0.2">
      <c r="A13" s="5">
        <v>2</v>
      </c>
      <c r="B13" s="1" t="s">
        <v>88</v>
      </c>
      <c r="C13" s="47">
        <f>'KTW-2 - Rev Req'!C35*'KTW-3 p8 - Cost of Cap'!C41</f>
        <v>4490957.5147624994</v>
      </c>
    </row>
    <row r="14" spans="1:8" x14ac:dyDescent="0.2">
      <c r="A14" s="5"/>
      <c r="C14" s="27"/>
    </row>
    <row r="15" spans="1:8" x14ac:dyDescent="0.2">
      <c r="A15" s="5">
        <v>3</v>
      </c>
      <c r="B15" s="1" t="s">
        <v>97</v>
      </c>
      <c r="C15" s="27">
        <f>C11-C13</f>
        <v>7777289.285223729</v>
      </c>
      <c r="H15" s="48"/>
    </row>
    <row r="16" spans="1:8" x14ac:dyDescent="0.2">
      <c r="A16" s="5"/>
      <c r="C16" s="27"/>
    </row>
    <row r="17" spans="1:8" x14ac:dyDescent="0.2">
      <c r="A17" s="5">
        <v>4</v>
      </c>
      <c r="B17" s="1" t="s">
        <v>158</v>
      </c>
      <c r="C17" s="14">
        <v>866935.63452792983</v>
      </c>
      <c r="D17" s="49">
        <f>+'KTW-3 p4 - Factors'!D27</f>
        <v>0.11556083283663321</v>
      </c>
      <c r="E17" s="50" t="s">
        <v>199</v>
      </c>
      <c r="G17" s="29"/>
    </row>
    <row r="18" spans="1:8" x14ac:dyDescent="0.2">
      <c r="A18" s="5"/>
      <c r="C18" s="51"/>
      <c r="G18" s="29"/>
    </row>
    <row r="19" spans="1:8" x14ac:dyDescent="0.2">
      <c r="A19" s="5">
        <v>5</v>
      </c>
      <c r="B19" s="1" t="s">
        <v>477</v>
      </c>
      <c r="C19" s="27">
        <f>C15+C17</f>
        <v>8644224.919751659</v>
      </c>
      <c r="G19" s="29"/>
    </row>
    <row r="20" spans="1:8" x14ac:dyDescent="0.2">
      <c r="A20" s="5"/>
      <c r="C20" s="27"/>
      <c r="G20" s="29"/>
      <c r="H20" s="52"/>
    </row>
    <row r="21" spans="1:8" x14ac:dyDescent="0.2">
      <c r="A21" s="5">
        <v>6</v>
      </c>
      <c r="B21" s="1" t="s">
        <v>114</v>
      </c>
      <c r="C21" s="53">
        <f>'KTW-3 p8 - Cost of Cap'!C43</f>
        <v>0.21</v>
      </c>
      <c r="G21" s="55"/>
    </row>
    <row r="22" spans="1:8" x14ac:dyDescent="0.2">
      <c r="A22" s="5"/>
      <c r="C22" s="56"/>
    </row>
    <row r="23" spans="1:8" x14ac:dyDescent="0.2">
      <c r="A23" s="5">
        <v>7</v>
      </c>
      <c r="B23" s="1" t="s">
        <v>470</v>
      </c>
      <c r="C23" s="57">
        <f>+C19*C21</f>
        <v>1815287.2331478484</v>
      </c>
    </row>
    <row r="24" spans="1:8" x14ac:dyDescent="0.2">
      <c r="B24" s="8"/>
    </row>
    <row r="25" spans="1:8" x14ac:dyDescent="0.2">
      <c r="A25" s="5">
        <v>8</v>
      </c>
      <c r="B25" s="1" t="s">
        <v>592</v>
      </c>
      <c r="C25" s="14">
        <v>-410221.29599999997</v>
      </c>
      <c r="D25" s="49">
        <f>+'KTW-3 p4 - Factors'!D13</f>
        <v>0.10960000000000003</v>
      </c>
      <c r="E25" s="8" t="s">
        <v>466</v>
      </c>
      <c r="G25" s="29"/>
    </row>
    <row r="26" spans="1:8" x14ac:dyDescent="0.2">
      <c r="A26" s="5"/>
    </row>
    <row r="27" spans="1:8" ht="15.75" thickBot="1" x14ac:dyDescent="0.25">
      <c r="A27" s="5">
        <v>9</v>
      </c>
      <c r="B27" s="1" t="s">
        <v>471</v>
      </c>
      <c r="C27" s="30">
        <f>+C23+C25</f>
        <v>1405065.9371478483</v>
      </c>
      <c r="G27" s="29"/>
    </row>
    <row r="28" spans="1:8" ht="15.75" thickTop="1" x14ac:dyDescent="0.2"/>
  </sheetData>
  <customSheetViews>
    <customSheetView guid="{A7BD13BF-7E57-44D7-9B02-43E2FA430390}" showPageBreaks="1" fitToPage="1" printArea="1">
      <selection activeCell="A2" sqref="A2"/>
      <pageMargins left="0.5" right="0.5" top="0.5" bottom="0.5" header="0.25" footer="0.25"/>
      <printOptions horizontalCentered="1"/>
      <pageSetup orientation="landscape" r:id="rId1"/>
      <headerFooter alignWithMargins="0"/>
    </customSheetView>
    <customSheetView guid="{C29552AC-6B79-447F-B962-713ED43BDF1A}" showPageBreaks="1" fitToPage="1" printArea="1" topLeftCell="A7">
      <selection activeCell="L35" sqref="L35"/>
      <pageMargins left="0.5" right="0.5" top="0.5" bottom="0.5" header="0.25" footer="0.25"/>
      <printOptions horizontalCentered="1"/>
      <pageSetup orientation="landscape" r:id="rId2"/>
      <headerFooter alignWithMargins="0"/>
    </customSheetView>
    <customSheetView guid="{6ED201AA-AB2E-4FE7-B06B-B07932512C4D}" showPageBreaks="1" fitToPage="1" printArea="1">
      <selection activeCell="L35" sqref="L35"/>
      <pageMargins left="0.5" right="0.5" top="0.5" bottom="0.5" header="0.25" footer="0.25"/>
      <printOptions horizontalCentered="1"/>
      <pageSetup orientation="landscape" r:id="rId3"/>
      <headerFooter alignWithMargins="0"/>
    </customSheetView>
    <customSheetView guid="{D711E10B-9441-4991-A2CB-ED400E35790D}" fitToPage="1" topLeftCell="A4">
      <selection activeCell="C25" sqref="C25"/>
      <pageMargins left="0.5" right="0.5" top="0.5" bottom="0.5" header="0.25" footer="0.25"/>
      <printOptions horizontalCentered="1"/>
      <pageSetup orientation="landscape" r:id="rId4"/>
      <headerFooter alignWithMargins="0"/>
    </customSheetView>
  </customSheetViews>
  <mergeCells count="1">
    <mergeCell ref="A5:C5"/>
  </mergeCells>
  <phoneticPr fontId="0" type="noConversion"/>
  <printOptions horizontalCentered="1"/>
  <pageMargins left="0.5" right="0.5" top="0.5" bottom="0.5" header="0.25" footer="0.25"/>
  <pageSetup orientation="landscape" r:id="rId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5" tint="0.59999389629810485"/>
    <pageSetUpPr fitToPage="1"/>
  </sheetPr>
  <dimension ref="A1:R97"/>
  <sheetViews>
    <sheetView zoomScale="90" zoomScaleNormal="90" workbookViewId="0">
      <pane xSplit="3" ySplit="8" topLeftCell="D60" activePane="bottomRight" state="frozen"/>
      <selection pane="topRight" activeCell="D1" sqref="D1"/>
      <selection pane="bottomLeft" activeCell="A9" sqref="A9"/>
      <selection pane="bottomRight" activeCell="F71" sqref="F71"/>
    </sheetView>
  </sheetViews>
  <sheetFormatPr defaultColWidth="9.140625" defaultRowHeight="15" outlineLevelRow="1" x14ac:dyDescent="0.2"/>
  <cols>
    <col min="1" max="1" width="4.7109375" style="8" customWidth="1"/>
    <col min="2" max="2" width="30.5703125" style="8" customWidth="1"/>
    <col min="3" max="3" width="10.42578125" style="20" customWidth="1"/>
    <col min="4" max="14" width="15.7109375" style="8" customWidth="1"/>
    <col min="15" max="15" width="16.42578125" style="8" customWidth="1"/>
    <col min="16" max="17" width="15.7109375" style="8" customWidth="1"/>
    <col min="18" max="18" width="14.85546875" style="20" bestFit="1" customWidth="1"/>
    <col min="19" max="16384" width="9.140625" style="8"/>
  </cols>
  <sheetData>
    <row r="1" spans="1:18" ht="15" customHeight="1" x14ac:dyDescent="0.2">
      <c r="A1" s="65" t="s">
        <v>0</v>
      </c>
      <c r="C1" s="235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59" t="s">
        <v>589</v>
      </c>
    </row>
    <row r="2" spans="1:18" ht="15" customHeight="1" x14ac:dyDescent="0.2">
      <c r="A2" s="65" t="s">
        <v>2</v>
      </c>
      <c r="C2" s="235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59" t="s">
        <v>615</v>
      </c>
    </row>
    <row r="3" spans="1:18" ht="15" customHeight="1" x14ac:dyDescent="0.2">
      <c r="A3" s="3" t="str">
        <f>+'KTW-3 p1 - Test Year Results'!A3</f>
        <v>Test Year Based on Twelve Months Ended September 30, 2020</v>
      </c>
      <c r="C3" s="235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</row>
    <row r="4" spans="1:18" ht="15" customHeight="1" x14ac:dyDescent="0.2">
      <c r="A4" s="65" t="s">
        <v>278</v>
      </c>
      <c r="C4" s="235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431"/>
    </row>
    <row r="5" spans="1:18" ht="15" customHeight="1" x14ac:dyDescent="0.25">
      <c r="B5" s="168"/>
      <c r="C5" s="235"/>
      <c r="D5" s="236" t="s">
        <v>273</v>
      </c>
      <c r="E5" s="236" t="s">
        <v>274</v>
      </c>
      <c r="F5" s="236" t="s">
        <v>275</v>
      </c>
      <c r="G5" s="236" t="s">
        <v>276</v>
      </c>
      <c r="H5" s="236" t="s">
        <v>266</v>
      </c>
      <c r="I5" s="236" t="s">
        <v>267</v>
      </c>
      <c r="J5" s="236" t="s">
        <v>268</v>
      </c>
      <c r="K5" s="236" t="s">
        <v>269</v>
      </c>
      <c r="L5" s="236" t="s">
        <v>18</v>
      </c>
      <c r="M5" s="236" t="s">
        <v>270</v>
      </c>
      <c r="N5" s="236" t="s">
        <v>271</v>
      </c>
      <c r="O5" s="236" t="s">
        <v>272</v>
      </c>
      <c r="P5" s="236" t="s">
        <v>273</v>
      </c>
      <c r="Q5" s="236" t="s">
        <v>404</v>
      </c>
      <c r="R5" s="431"/>
    </row>
    <row r="6" spans="1:18" ht="15" customHeight="1" x14ac:dyDescent="0.25">
      <c r="B6" s="168"/>
      <c r="C6" s="235"/>
      <c r="D6" s="237">
        <v>2019</v>
      </c>
      <c r="E6" s="237">
        <f>+D6</f>
        <v>2019</v>
      </c>
      <c r="F6" s="237">
        <f t="shared" ref="F6:P6" si="0">+E6</f>
        <v>2019</v>
      </c>
      <c r="G6" s="237">
        <f t="shared" si="0"/>
        <v>2019</v>
      </c>
      <c r="H6" s="237">
        <v>2020</v>
      </c>
      <c r="I6" s="237">
        <f t="shared" si="0"/>
        <v>2020</v>
      </c>
      <c r="J6" s="237">
        <f t="shared" si="0"/>
        <v>2020</v>
      </c>
      <c r="K6" s="237">
        <f t="shared" si="0"/>
        <v>2020</v>
      </c>
      <c r="L6" s="237">
        <f t="shared" si="0"/>
        <v>2020</v>
      </c>
      <c r="M6" s="237">
        <f t="shared" si="0"/>
        <v>2020</v>
      </c>
      <c r="N6" s="237">
        <f t="shared" si="0"/>
        <v>2020</v>
      </c>
      <c r="O6" s="237">
        <f t="shared" si="0"/>
        <v>2020</v>
      </c>
      <c r="P6" s="237">
        <f t="shared" si="0"/>
        <v>2020</v>
      </c>
      <c r="Q6" s="238" t="s">
        <v>405</v>
      </c>
      <c r="R6" s="431"/>
    </row>
    <row r="7" spans="1:18" ht="15" customHeight="1" thickBot="1" x14ac:dyDescent="0.25">
      <c r="A7" s="451" t="s">
        <v>7</v>
      </c>
      <c r="B7" s="451"/>
      <c r="C7" s="451"/>
      <c r="D7" s="339" t="s">
        <v>55</v>
      </c>
      <c r="E7" s="339" t="s">
        <v>56</v>
      </c>
      <c r="F7" s="340" t="s">
        <v>57</v>
      </c>
      <c r="G7" s="339" t="s">
        <v>58</v>
      </c>
      <c r="H7" s="339" t="s">
        <v>59</v>
      </c>
      <c r="I7" s="59" t="s">
        <v>65</v>
      </c>
      <c r="J7" s="59" t="s">
        <v>66</v>
      </c>
      <c r="K7" s="59" t="s">
        <v>67</v>
      </c>
      <c r="L7" s="59" t="s">
        <v>68</v>
      </c>
      <c r="M7" s="59" t="s">
        <v>69</v>
      </c>
      <c r="N7" s="59" t="s">
        <v>70</v>
      </c>
      <c r="O7" s="59" t="s">
        <v>242</v>
      </c>
      <c r="P7" s="59" t="s">
        <v>243</v>
      </c>
      <c r="Q7" s="59" t="s">
        <v>71</v>
      </c>
      <c r="R7" s="431"/>
    </row>
    <row r="8" spans="1:18" ht="15" customHeight="1" outlineLevel="1" x14ac:dyDescent="0.25">
      <c r="A8" s="191" t="s">
        <v>36</v>
      </c>
      <c r="B8" s="193"/>
      <c r="C8" s="239"/>
      <c r="D8" s="240"/>
      <c r="E8" s="240"/>
      <c r="F8" s="240"/>
      <c r="G8" s="241"/>
      <c r="H8" s="235"/>
      <c r="I8" s="168"/>
      <c r="J8" s="168"/>
      <c r="K8" s="168"/>
      <c r="L8" s="168"/>
      <c r="M8" s="168"/>
      <c r="N8" s="168"/>
      <c r="O8" s="168"/>
      <c r="P8" s="168"/>
      <c r="Q8" s="168"/>
    </row>
    <row r="9" spans="1:18" ht="15" customHeight="1" outlineLevel="1" x14ac:dyDescent="0.25">
      <c r="A9" s="242"/>
      <c r="B9" s="242" t="s">
        <v>431</v>
      </c>
      <c r="C9" s="239"/>
      <c r="D9" s="244">
        <v>123274685.10999998</v>
      </c>
      <c r="E9" s="244">
        <v>124781269.97999999</v>
      </c>
      <c r="F9" s="244">
        <v>124835762.41999999</v>
      </c>
      <c r="G9" s="244">
        <v>126083550.66999997</v>
      </c>
      <c r="H9" s="244">
        <v>126361928.32999997</v>
      </c>
      <c r="I9" s="244">
        <v>126902292.18999997</v>
      </c>
      <c r="J9" s="244">
        <v>127269224.40999997</v>
      </c>
      <c r="K9" s="244">
        <v>128070083.59999996</v>
      </c>
      <c r="L9" s="244">
        <v>142483946.00999999</v>
      </c>
      <c r="M9" s="244">
        <v>142561912.15999997</v>
      </c>
      <c r="N9" s="244">
        <v>142850694.39000002</v>
      </c>
      <c r="O9" s="244">
        <v>143502503.77000001</v>
      </c>
      <c r="P9" s="244">
        <v>148078451.06999999</v>
      </c>
      <c r="Q9" s="244">
        <f>((D9/2)+SUM(E9:O9)+(P9/2))/12</f>
        <v>132614978.00166668</v>
      </c>
    </row>
    <row r="10" spans="1:18" ht="15" customHeight="1" outlineLevel="1" x14ac:dyDescent="0.25">
      <c r="A10" s="242"/>
      <c r="B10" s="242" t="s">
        <v>432</v>
      </c>
      <c r="C10" s="239"/>
      <c r="D10" s="244">
        <v>84795.27</v>
      </c>
      <c r="E10" s="244">
        <v>84795.27</v>
      </c>
      <c r="F10" s="244">
        <v>84795.27</v>
      </c>
      <c r="G10" s="244">
        <v>84795.27</v>
      </c>
      <c r="H10" s="244">
        <v>84795.27</v>
      </c>
      <c r="I10" s="244">
        <v>84795.27</v>
      </c>
      <c r="J10" s="244">
        <v>84795.27</v>
      </c>
      <c r="K10" s="244">
        <v>84795.27</v>
      </c>
      <c r="L10" s="244">
        <v>84795.27</v>
      </c>
      <c r="M10" s="244">
        <v>84795.27</v>
      </c>
      <c r="N10" s="244">
        <v>84795.27</v>
      </c>
      <c r="O10" s="244">
        <v>84795.27</v>
      </c>
      <c r="P10" s="244">
        <v>84795.27</v>
      </c>
      <c r="Q10" s="244">
        <f>((D10/2)+SUM(E10:O10)+(P10/2))/12</f>
        <v>84795.27</v>
      </c>
    </row>
    <row r="11" spans="1:18" ht="15" customHeight="1" outlineLevel="1" x14ac:dyDescent="0.25">
      <c r="A11" s="242"/>
      <c r="B11" s="242" t="s">
        <v>174</v>
      </c>
      <c r="C11" s="239"/>
      <c r="D11" s="244">
        <v>675198</v>
      </c>
      <c r="E11" s="244">
        <v>675198</v>
      </c>
      <c r="F11" s="244">
        <v>675198</v>
      </c>
      <c r="G11" s="244">
        <v>675198</v>
      </c>
      <c r="H11" s="244">
        <v>675198</v>
      </c>
      <c r="I11" s="244">
        <v>675198</v>
      </c>
      <c r="J11" s="244">
        <v>675198</v>
      </c>
      <c r="K11" s="244">
        <v>675198</v>
      </c>
      <c r="L11" s="244">
        <v>675198</v>
      </c>
      <c r="M11" s="244">
        <v>675198</v>
      </c>
      <c r="N11" s="244">
        <v>675198</v>
      </c>
      <c r="O11" s="244">
        <v>675198</v>
      </c>
      <c r="P11" s="244">
        <v>675198</v>
      </c>
      <c r="Q11" s="244">
        <f t="shared" ref="Q11:Q72" si="1">((D11/2)+SUM(E11:O11)+(P11/2))/12</f>
        <v>675198</v>
      </c>
    </row>
    <row r="12" spans="1:18" ht="15" customHeight="1" outlineLevel="1" x14ac:dyDescent="0.25">
      <c r="A12" s="242"/>
      <c r="B12" s="242" t="s">
        <v>175</v>
      </c>
      <c r="C12" s="239"/>
      <c r="D12" s="244">
        <v>189500741.28</v>
      </c>
      <c r="E12" s="244">
        <v>191385638.89000002</v>
      </c>
      <c r="F12" s="244">
        <v>191639508.67000002</v>
      </c>
      <c r="G12" s="244">
        <v>192013583.40000001</v>
      </c>
      <c r="H12" s="244">
        <v>192106203.5</v>
      </c>
      <c r="I12" s="244">
        <v>192161416.25</v>
      </c>
      <c r="J12" s="244">
        <v>192375286.74000001</v>
      </c>
      <c r="K12" s="244">
        <v>192371065.69</v>
      </c>
      <c r="L12" s="244">
        <v>192536004.01999998</v>
      </c>
      <c r="M12" s="244">
        <v>192560956.14999998</v>
      </c>
      <c r="N12" s="244">
        <v>192784607.14999998</v>
      </c>
      <c r="O12" s="244">
        <v>192809906.41999999</v>
      </c>
      <c r="P12" s="244">
        <v>194512128.98999998</v>
      </c>
      <c r="Q12" s="244">
        <f t="shared" si="1"/>
        <v>192229217.66791666</v>
      </c>
    </row>
    <row r="13" spans="1:18" ht="15" customHeight="1" outlineLevel="1" x14ac:dyDescent="0.25">
      <c r="A13" s="242"/>
      <c r="B13" s="242" t="s">
        <v>176</v>
      </c>
      <c r="C13" s="239"/>
      <c r="D13" s="244">
        <v>2327611703.3399997</v>
      </c>
      <c r="E13" s="244">
        <v>2338705080.4499998</v>
      </c>
      <c r="F13" s="244">
        <v>2345896964.3500004</v>
      </c>
      <c r="G13" s="244">
        <v>2373283799.6799998</v>
      </c>
      <c r="H13" s="244">
        <v>2382356018.9400001</v>
      </c>
      <c r="I13" s="244">
        <v>2388897735.7599998</v>
      </c>
      <c r="J13" s="244">
        <v>2401160966.6500001</v>
      </c>
      <c r="K13" s="244">
        <v>2406620571.0899992</v>
      </c>
      <c r="L13" s="244">
        <v>2417848886.4399996</v>
      </c>
      <c r="M13" s="244">
        <v>2427637708.9799995</v>
      </c>
      <c r="N13" s="244">
        <v>2433654068.1799994</v>
      </c>
      <c r="O13" s="244">
        <v>2444067223.0299993</v>
      </c>
      <c r="P13" s="244">
        <v>2453023843.7699995</v>
      </c>
      <c r="Q13" s="244">
        <f t="shared" si="1"/>
        <v>2395870566.425416</v>
      </c>
    </row>
    <row r="14" spans="1:18" ht="15" customHeight="1" outlineLevel="1" x14ac:dyDescent="0.25">
      <c r="A14" s="242"/>
      <c r="B14" s="242" t="s">
        <v>188</v>
      </c>
      <c r="C14" s="239"/>
      <c r="D14" s="244">
        <v>11648059.540000001</v>
      </c>
      <c r="E14" s="244">
        <v>11652361.450000001</v>
      </c>
      <c r="F14" s="244">
        <v>11652361.450000001</v>
      </c>
      <c r="G14" s="244">
        <v>11652361.450000001</v>
      </c>
      <c r="H14" s="244">
        <v>11657756.950000001</v>
      </c>
      <c r="I14" s="244">
        <v>11657756.950000001</v>
      </c>
      <c r="J14" s="244">
        <v>11657756.950000001</v>
      </c>
      <c r="K14" s="244">
        <v>11652361.450000001</v>
      </c>
      <c r="L14" s="244">
        <v>11655418.9</v>
      </c>
      <c r="M14" s="244">
        <v>12629043.970000001</v>
      </c>
      <c r="N14" s="244">
        <v>12633408.030000001</v>
      </c>
      <c r="O14" s="244">
        <v>12629290.590000002</v>
      </c>
      <c r="P14" s="244">
        <v>12639875.300000003</v>
      </c>
      <c r="Q14" s="244">
        <f t="shared" si="1"/>
        <v>11939487.130000003</v>
      </c>
    </row>
    <row r="15" spans="1:18" ht="15" customHeight="1" outlineLevel="1" x14ac:dyDescent="0.25">
      <c r="A15" s="242"/>
      <c r="B15" s="191" t="s">
        <v>433</v>
      </c>
      <c r="C15" s="239"/>
      <c r="D15" s="244">
        <v>74934549.640000001</v>
      </c>
      <c r="E15" s="244">
        <v>74964041.629999995</v>
      </c>
      <c r="F15" s="244">
        <v>74966478.699999988</v>
      </c>
      <c r="G15" s="244">
        <v>74981091.379999995</v>
      </c>
      <c r="H15" s="244">
        <v>74985643.679999992</v>
      </c>
      <c r="I15" s="244">
        <v>74992223.939999998</v>
      </c>
      <c r="J15" s="244">
        <v>75303801.329999998</v>
      </c>
      <c r="K15" s="244">
        <v>75340238.5</v>
      </c>
      <c r="L15" s="244">
        <v>75344263.030000001</v>
      </c>
      <c r="M15" s="244">
        <v>75391362</v>
      </c>
      <c r="N15" s="244">
        <v>75393743.609999999</v>
      </c>
      <c r="O15" s="244">
        <v>75464986.489999995</v>
      </c>
      <c r="P15" s="244">
        <v>75474055.069999993</v>
      </c>
      <c r="Q15" s="244">
        <f t="shared" si="1"/>
        <v>75194348.053749993</v>
      </c>
    </row>
    <row r="16" spans="1:18" ht="15" customHeight="1" outlineLevel="1" x14ac:dyDescent="0.25">
      <c r="A16" s="242"/>
      <c r="B16" s="191" t="s">
        <v>434</v>
      </c>
      <c r="C16" s="239"/>
      <c r="D16" s="244">
        <v>147786586.55999997</v>
      </c>
      <c r="E16" s="244">
        <v>149953582.78999999</v>
      </c>
      <c r="F16" s="244">
        <v>149818567.19</v>
      </c>
      <c r="G16" s="244">
        <v>157236228.91999999</v>
      </c>
      <c r="H16" s="244">
        <v>159856637.59</v>
      </c>
      <c r="I16" s="244">
        <v>161443203.04000002</v>
      </c>
      <c r="J16" s="244">
        <v>170437365.63</v>
      </c>
      <c r="K16" s="244">
        <v>175084820.16</v>
      </c>
      <c r="L16" s="244">
        <v>180905118.75000003</v>
      </c>
      <c r="M16" s="244">
        <v>184938570.67000002</v>
      </c>
      <c r="N16" s="244">
        <v>185421791.88999999</v>
      </c>
      <c r="O16" s="244">
        <v>186044442.30000001</v>
      </c>
      <c r="P16" s="244">
        <v>189557928.74000001</v>
      </c>
      <c r="Q16" s="244">
        <f t="shared" si="1"/>
        <v>169151048.88166666</v>
      </c>
    </row>
    <row r="17" spans="1:17" ht="15" customHeight="1" outlineLevel="1" x14ac:dyDescent="0.25">
      <c r="A17" s="242"/>
      <c r="B17" s="242" t="s">
        <v>200</v>
      </c>
      <c r="C17" s="239"/>
      <c r="D17" s="244">
        <v>334179675.88</v>
      </c>
      <c r="E17" s="244">
        <v>336469533.38999999</v>
      </c>
      <c r="F17" s="244">
        <v>336485827.44999993</v>
      </c>
      <c r="G17" s="244">
        <v>338708360.52999991</v>
      </c>
      <c r="H17" s="244">
        <v>338721539.31999993</v>
      </c>
      <c r="I17" s="244">
        <v>338714042.94999987</v>
      </c>
      <c r="J17" s="244">
        <v>339293939.7899999</v>
      </c>
      <c r="K17" s="244">
        <v>339301386.70999992</v>
      </c>
      <c r="L17" s="244">
        <v>341466980.88999987</v>
      </c>
      <c r="M17" s="244">
        <v>341483441.55999988</v>
      </c>
      <c r="N17" s="244">
        <v>341577204.68999988</v>
      </c>
      <c r="O17" s="244">
        <v>341578123.69999987</v>
      </c>
      <c r="P17" s="244">
        <v>341578134.98999989</v>
      </c>
      <c r="Q17" s="245">
        <f t="shared" si="1"/>
        <v>339306607.2012499</v>
      </c>
    </row>
    <row r="18" spans="1:17" ht="15" customHeight="1" outlineLevel="1" x14ac:dyDescent="0.25">
      <c r="A18" s="242"/>
      <c r="B18" s="242" t="s">
        <v>244</v>
      </c>
      <c r="C18" s="239"/>
      <c r="D18" s="246">
        <v>3790768.49</v>
      </c>
      <c r="E18" s="246">
        <v>3790768.49</v>
      </c>
      <c r="F18" s="246">
        <v>3790768.49</v>
      </c>
      <c r="G18" s="246">
        <v>3790768.49</v>
      </c>
      <c r="H18" s="246">
        <v>3790768.49</v>
      </c>
      <c r="I18" s="246">
        <v>3790768.49</v>
      </c>
      <c r="J18" s="246">
        <v>3790768.49</v>
      </c>
      <c r="K18" s="246">
        <v>3790768.49</v>
      </c>
      <c r="L18" s="246">
        <v>3790768.49</v>
      </c>
      <c r="M18" s="246">
        <v>3790768.49</v>
      </c>
      <c r="N18" s="246">
        <v>3790768.49</v>
      </c>
      <c r="O18" s="246">
        <v>3790768.49</v>
      </c>
      <c r="P18" s="246">
        <v>3790768.49</v>
      </c>
      <c r="Q18" s="246">
        <f t="shared" si="1"/>
        <v>3790768.4900000007</v>
      </c>
    </row>
    <row r="19" spans="1:17" ht="15" customHeight="1" outlineLevel="1" x14ac:dyDescent="0.25">
      <c r="A19" s="242"/>
      <c r="B19" s="242"/>
      <c r="C19" s="239"/>
      <c r="D19" s="243"/>
      <c r="E19" s="243"/>
      <c r="F19" s="243"/>
      <c r="G19" s="243"/>
      <c r="H19" s="243"/>
      <c r="I19" s="243"/>
      <c r="J19" s="243"/>
      <c r="K19" s="243"/>
      <c r="L19" s="244"/>
      <c r="M19" s="244"/>
      <c r="N19" s="244"/>
      <c r="O19" s="244"/>
      <c r="P19" s="244"/>
      <c r="Q19" s="244"/>
    </row>
    <row r="20" spans="1:17" ht="15" customHeight="1" outlineLevel="1" thickBot="1" x14ac:dyDescent="0.3">
      <c r="A20" s="242"/>
      <c r="B20" s="242" t="s">
        <v>201</v>
      </c>
      <c r="C20" s="239"/>
      <c r="D20" s="247">
        <f>SUM(D9:D19)</f>
        <v>3213486763.1099992</v>
      </c>
      <c r="E20" s="247">
        <f t="shared" ref="E20:P20" si="2">SUM(E9:E19)</f>
        <v>3232462270.3399992</v>
      </c>
      <c r="F20" s="247">
        <f t="shared" si="2"/>
        <v>3239846231.9899998</v>
      </c>
      <c r="G20" s="247">
        <f t="shared" si="2"/>
        <v>3278509737.7899995</v>
      </c>
      <c r="H20" s="247">
        <f t="shared" si="2"/>
        <v>3290596490.0699997</v>
      </c>
      <c r="I20" s="247">
        <f t="shared" si="2"/>
        <v>3299319432.8399992</v>
      </c>
      <c r="J20" s="247">
        <f t="shared" si="2"/>
        <v>3322049103.2599998</v>
      </c>
      <c r="K20" s="247">
        <f t="shared" si="2"/>
        <v>3332991288.9599986</v>
      </c>
      <c r="L20" s="247">
        <f t="shared" si="2"/>
        <v>3366791379.7999997</v>
      </c>
      <c r="M20" s="247">
        <f t="shared" si="2"/>
        <v>3381753757.249999</v>
      </c>
      <c r="N20" s="247">
        <f t="shared" si="2"/>
        <v>3388866279.6999993</v>
      </c>
      <c r="O20" s="247">
        <f t="shared" si="2"/>
        <v>3400647238.059999</v>
      </c>
      <c r="P20" s="247">
        <f t="shared" si="2"/>
        <v>3419415179.6899996</v>
      </c>
      <c r="Q20" s="247">
        <f>SUM(Q9:Q19)</f>
        <v>3320857015.121666</v>
      </c>
    </row>
    <row r="21" spans="1:17" ht="15" customHeight="1" outlineLevel="1" thickTop="1" x14ac:dyDescent="0.25">
      <c r="A21" s="192"/>
      <c r="B21" s="192"/>
      <c r="C21" s="239"/>
      <c r="D21" s="248"/>
      <c r="E21" s="248"/>
      <c r="F21" s="248"/>
      <c r="G21" s="248"/>
      <c r="H21" s="248"/>
      <c r="I21" s="248"/>
      <c r="J21" s="248"/>
      <c r="K21" s="248"/>
      <c r="L21" s="249"/>
      <c r="M21" s="249"/>
      <c r="N21" s="249"/>
      <c r="O21" s="249"/>
      <c r="P21" s="249"/>
      <c r="Q21" s="168"/>
    </row>
    <row r="22" spans="1:17" ht="15" customHeight="1" outlineLevel="1" x14ac:dyDescent="0.25">
      <c r="A22" s="191" t="s">
        <v>435</v>
      </c>
      <c r="B22" s="193"/>
      <c r="C22" s="239"/>
      <c r="D22" s="243"/>
      <c r="E22" s="243"/>
      <c r="F22" s="243"/>
      <c r="G22" s="243"/>
      <c r="H22" s="243"/>
      <c r="I22" s="243"/>
      <c r="J22" s="243"/>
      <c r="K22" s="243"/>
      <c r="L22" s="244"/>
      <c r="M22" s="244"/>
      <c r="N22" s="244"/>
      <c r="O22" s="244"/>
      <c r="P22" s="244"/>
      <c r="Q22" s="244"/>
    </row>
    <row r="23" spans="1:17" ht="15" customHeight="1" outlineLevel="1" x14ac:dyDescent="0.25">
      <c r="A23" s="242"/>
      <c r="B23" s="242" t="s">
        <v>431</v>
      </c>
      <c r="C23" s="239"/>
      <c r="D23" s="244">
        <v>-70817474.159999996</v>
      </c>
      <c r="E23" s="244">
        <v>-71308176.510000005</v>
      </c>
      <c r="F23" s="244">
        <v>-71803278.640000001</v>
      </c>
      <c r="G23" s="244">
        <v>-72302109.320000008</v>
      </c>
      <c r="H23" s="244">
        <v>-72842193.760000005</v>
      </c>
      <c r="I23" s="244">
        <v>-73357371.919999987</v>
      </c>
      <c r="J23" s="244">
        <v>-73875107.36999999</v>
      </c>
      <c r="K23" s="244">
        <v>-74396153.549999997</v>
      </c>
      <c r="L23" s="244">
        <v>-74960175.389999986</v>
      </c>
      <c r="M23" s="244">
        <v>-74891940.939999998</v>
      </c>
      <c r="N23" s="244">
        <v>-75513963.730000004</v>
      </c>
      <c r="O23" s="244">
        <v>-76136296.830000013</v>
      </c>
      <c r="P23" s="244">
        <v>-76778332.569999993</v>
      </c>
      <c r="Q23" s="244">
        <f>((D23/2)+SUM(E23:O23)+(P23/2))/12</f>
        <v>-73765389.277083352</v>
      </c>
    </row>
    <row r="24" spans="1:17" ht="15" customHeight="1" outlineLevel="1" x14ac:dyDescent="0.25">
      <c r="A24" s="242"/>
      <c r="B24" s="242" t="s">
        <v>432</v>
      </c>
      <c r="C24" s="239"/>
      <c r="D24" s="244">
        <v>0</v>
      </c>
      <c r="E24" s="244">
        <v>0</v>
      </c>
      <c r="F24" s="244">
        <v>0</v>
      </c>
      <c r="G24" s="244">
        <v>0</v>
      </c>
      <c r="H24" s="244">
        <v>0</v>
      </c>
      <c r="I24" s="244">
        <v>0</v>
      </c>
      <c r="J24" s="244">
        <v>0</v>
      </c>
      <c r="K24" s="244">
        <v>0</v>
      </c>
      <c r="L24" s="244">
        <v>0</v>
      </c>
      <c r="M24" s="244">
        <v>0</v>
      </c>
      <c r="N24" s="244">
        <v>0</v>
      </c>
      <c r="O24" s="244">
        <v>0</v>
      </c>
      <c r="P24" s="244">
        <v>0</v>
      </c>
      <c r="Q24" s="244">
        <f>((D24/2)+SUM(E24:O24)+(P24/2))/12</f>
        <v>0</v>
      </c>
    </row>
    <row r="25" spans="1:17" ht="15" customHeight="1" outlineLevel="1" x14ac:dyDescent="0.25">
      <c r="A25" s="242"/>
      <c r="B25" s="242" t="s">
        <v>174</v>
      </c>
      <c r="C25" s="239"/>
      <c r="D25" s="244">
        <v>-691035.67999999993</v>
      </c>
      <c r="E25" s="244">
        <v>-691035.66999999993</v>
      </c>
      <c r="F25" s="244">
        <v>-691035.67999999993</v>
      </c>
      <c r="G25" s="244">
        <v>-691035.67999999993</v>
      </c>
      <c r="H25" s="244">
        <v>-691035.66999999993</v>
      </c>
      <c r="I25" s="244">
        <v>-691035.67999999993</v>
      </c>
      <c r="J25" s="244">
        <v>-691035.67999999993</v>
      </c>
      <c r="K25" s="244">
        <v>-691035.67999999993</v>
      </c>
      <c r="L25" s="244">
        <v>-691035.69</v>
      </c>
      <c r="M25" s="244">
        <v>-691035.67999999993</v>
      </c>
      <c r="N25" s="244">
        <v>-691035.67999999993</v>
      </c>
      <c r="O25" s="244">
        <v>-691035.66999999993</v>
      </c>
      <c r="P25" s="244">
        <v>-691035.66999999993</v>
      </c>
      <c r="Q25" s="244">
        <f t="shared" si="1"/>
        <v>-691035.67791666661</v>
      </c>
    </row>
    <row r="26" spans="1:17" ht="15" customHeight="1" outlineLevel="1" x14ac:dyDescent="0.25">
      <c r="A26" s="242"/>
      <c r="B26" s="242" t="s">
        <v>175</v>
      </c>
      <c r="C26" s="239"/>
      <c r="D26" s="244">
        <v>-43275682.759999998</v>
      </c>
      <c r="E26" s="244">
        <v>-43571193.059999995</v>
      </c>
      <c r="F26" s="244">
        <v>-43868332.060000002</v>
      </c>
      <c r="G26" s="244">
        <v>-44166051.469999999</v>
      </c>
      <c r="H26" s="244">
        <v>-44464096.359999999</v>
      </c>
      <c r="I26" s="244">
        <v>-44762261.399999999</v>
      </c>
      <c r="J26" s="244">
        <v>-45060632.950000003</v>
      </c>
      <c r="K26" s="244">
        <v>-45359170.68</v>
      </c>
      <c r="L26" s="244">
        <v>-45657832.25</v>
      </c>
      <c r="M26" s="244">
        <v>-45956644.829999998</v>
      </c>
      <c r="N26" s="244">
        <v>-46255649.919999994</v>
      </c>
      <c r="O26" s="244">
        <v>-46554849.910000004</v>
      </c>
      <c r="P26" s="244">
        <v>-46855405.36999999</v>
      </c>
      <c r="Q26" s="244">
        <f t="shared" si="1"/>
        <v>-45061854.912916668</v>
      </c>
    </row>
    <row r="27" spans="1:17" ht="15" customHeight="1" outlineLevel="1" x14ac:dyDescent="0.25">
      <c r="A27" s="242"/>
      <c r="B27" s="242" t="s">
        <v>176</v>
      </c>
      <c r="C27" s="239"/>
      <c r="D27" s="244">
        <v>-1074144075.1670001</v>
      </c>
      <c r="E27" s="244">
        <v>-1077556317.8989999</v>
      </c>
      <c r="F27" s="244">
        <v>-1081383352.8000002</v>
      </c>
      <c r="G27" s="244">
        <v>-1084945810.4424999</v>
      </c>
      <c r="H27" s="244">
        <v>-1089103715.4345002</v>
      </c>
      <c r="I27" s="244">
        <v>-1092819125.8755</v>
      </c>
      <c r="J27" s="244">
        <v>-1096280838.7780001</v>
      </c>
      <c r="K27" s="244">
        <v>-1099277956.9475002</v>
      </c>
      <c r="L27" s="244">
        <v>-1102803754.1920002</v>
      </c>
      <c r="M27" s="244">
        <v>-1105745923.6234999</v>
      </c>
      <c r="N27" s="244">
        <v>-1107580268.4235003</v>
      </c>
      <c r="O27" s="244">
        <v>-1111538084.099</v>
      </c>
      <c r="P27" s="244">
        <v>-1114283724.8189998</v>
      </c>
      <c r="Q27" s="244">
        <f t="shared" si="1"/>
        <v>-1095270754.0423334</v>
      </c>
    </row>
    <row r="28" spans="1:17" ht="15" customHeight="1" outlineLevel="1" x14ac:dyDescent="0.25">
      <c r="A28" s="242"/>
      <c r="B28" s="242" t="s">
        <v>188</v>
      </c>
      <c r="C28" s="239"/>
      <c r="D28" s="244">
        <v>-437351</v>
      </c>
      <c r="E28" s="244">
        <v>-437351</v>
      </c>
      <c r="F28" s="244">
        <v>-437351</v>
      </c>
      <c r="G28" s="244">
        <v>-437351</v>
      </c>
      <c r="H28" s="244">
        <v>-437351</v>
      </c>
      <c r="I28" s="244">
        <v>-437351</v>
      </c>
      <c r="J28" s="244">
        <v>-437351</v>
      </c>
      <c r="K28" s="244">
        <v>-437351</v>
      </c>
      <c r="L28" s="244">
        <v>-437351</v>
      </c>
      <c r="M28" s="244">
        <v>-437351</v>
      </c>
      <c r="N28" s="244">
        <v>-437351</v>
      </c>
      <c r="O28" s="244">
        <v>-437351</v>
      </c>
      <c r="P28" s="244">
        <v>-437351</v>
      </c>
      <c r="Q28" s="244">
        <f t="shared" si="1"/>
        <v>-437351</v>
      </c>
    </row>
    <row r="29" spans="1:17" ht="15" customHeight="1" outlineLevel="1" x14ac:dyDescent="0.25">
      <c r="A29" s="242"/>
      <c r="B29" s="191" t="s">
        <v>433</v>
      </c>
      <c r="C29" s="239"/>
      <c r="D29" s="244">
        <v>-13126977.52</v>
      </c>
      <c r="E29" s="244">
        <v>-13268756.950000001</v>
      </c>
      <c r="F29" s="244">
        <v>-13410566.51</v>
      </c>
      <c r="G29" s="244">
        <v>-13552390.620000001</v>
      </c>
      <c r="H29" s="244">
        <v>-13694233.760000002</v>
      </c>
      <c r="I29" s="244">
        <v>-13836088.42</v>
      </c>
      <c r="J29" s="244">
        <v>-13978243.299999999</v>
      </c>
      <c r="K29" s="244">
        <v>-14120727.689999999</v>
      </c>
      <c r="L29" s="244">
        <v>-14263249.85</v>
      </c>
      <c r="M29" s="244">
        <v>-14230523.25</v>
      </c>
      <c r="N29" s="244">
        <v>-14373140.169999998</v>
      </c>
      <c r="O29" s="244">
        <v>-14515826.109999999</v>
      </c>
      <c r="P29" s="244">
        <v>-14658590.65</v>
      </c>
      <c r="Q29" s="244">
        <f t="shared" si="1"/>
        <v>-13928044.226249998</v>
      </c>
    </row>
    <row r="30" spans="1:17" ht="15" customHeight="1" outlineLevel="1" x14ac:dyDescent="0.25">
      <c r="A30" s="242"/>
      <c r="B30" s="191" t="s">
        <v>434</v>
      </c>
      <c r="C30" s="239"/>
      <c r="D30" s="244">
        <v>-50719922.009999998</v>
      </c>
      <c r="E30" s="244">
        <v>-51885423.340000004</v>
      </c>
      <c r="F30" s="244">
        <v>-49728387.910000004</v>
      </c>
      <c r="G30" s="244">
        <v>-50641827.20000001</v>
      </c>
      <c r="H30" s="244">
        <v>-51131891.409999989</v>
      </c>
      <c r="I30" s="244">
        <v>-52399010.510000013</v>
      </c>
      <c r="J30" s="244">
        <v>-53436277.129999995</v>
      </c>
      <c r="K30" s="244">
        <v>-54498099.640000015</v>
      </c>
      <c r="L30" s="244">
        <v>-55735591.079999991</v>
      </c>
      <c r="M30" s="244">
        <v>-57057147.989999987</v>
      </c>
      <c r="N30" s="244">
        <v>-58398037.050000004</v>
      </c>
      <c r="O30" s="244">
        <v>-59565174.579999998</v>
      </c>
      <c r="P30" s="244">
        <v>-60733755.599999987</v>
      </c>
      <c r="Q30" s="244">
        <f t="shared" si="1"/>
        <v>-54183642.220416665</v>
      </c>
    </row>
    <row r="31" spans="1:17" ht="15" customHeight="1" outlineLevel="1" x14ac:dyDescent="0.25">
      <c r="A31" s="242"/>
      <c r="B31" s="242" t="s">
        <v>200</v>
      </c>
      <c r="C31" s="239"/>
      <c r="D31" s="244">
        <v>-147473205.33999997</v>
      </c>
      <c r="E31" s="244">
        <v>-148491945.03999999</v>
      </c>
      <c r="F31" s="244">
        <v>-149048873.13</v>
      </c>
      <c r="G31" s="244">
        <v>-149607170.42999998</v>
      </c>
      <c r="H31" s="244">
        <v>-150166871.00999999</v>
      </c>
      <c r="I31" s="244">
        <v>-150726649.70999998</v>
      </c>
      <c r="J31" s="244">
        <v>-151286712.84999999</v>
      </c>
      <c r="K31" s="244">
        <v>-151847180.91999996</v>
      </c>
      <c r="L31" s="244">
        <v>-152409565.12999997</v>
      </c>
      <c r="M31" s="244">
        <v>-152973976.94999999</v>
      </c>
      <c r="N31" s="244">
        <v>-153538671.63999999</v>
      </c>
      <c r="O31" s="244">
        <v>-154102993.49000001</v>
      </c>
      <c r="P31" s="244">
        <v>-154667557.43000004</v>
      </c>
      <c r="Q31" s="245">
        <f t="shared" si="1"/>
        <v>-151272582.64041665</v>
      </c>
    </row>
    <row r="32" spans="1:17" ht="15" customHeight="1" outlineLevel="1" x14ac:dyDescent="0.25">
      <c r="A32" s="242"/>
      <c r="B32" s="242" t="s">
        <v>244</v>
      </c>
      <c r="C32" s="239"/>
      <c r="D32" s="246">
        <v>-2231463.81</v>
      </c>
      <c r="E32" s="246">
        <v>-2238125.7800000003</v>
      </c>
      <c r="F32" s="246">
        <v>-2244787.7000000002</v>
      </c>
      <c r="G32" s="246">
        <v>-2251449.91</v>
      </c>
      <c r="H32" s="246">
        <v>-2258111.96</v>
      </c>
      <c r="I32" s="246">
        <v>-2264773.91</v>
      </c>
      <c r="J32" s="246">
        <v>-2271436.0099999998</v>
      </c>
      <c r="K32" s="246">
        <v>-2278098.0300000003</v>
      </c>
      <c r="L32" s="246">
        <v>-2284759.98</v>
      </c>
      <c r="M32" s="246">
        <v>-2291421.92</v>
      </c>
      <c r="N32" s="246">
        <v>-2298083.9299999997</v>
      </c>
      <c r="O32" s="246">
        <v>-2304745.83</v>
      </c>
      <c r="P32" s="246">
        <v>-2311407.94</v>
      </c>
      <c r="Q32" s="246">
        <f t="shared" si="1"/>
        <v>-2271435.9029166666</v>
      </c>
    </row>
    <row r="33" spans="1:18" ht="15" customHeight="1" outlineLevel="1" x14ac:dyDescent="0.25">
      <c r="A33" s="242"/>
      <c r="B33" s="242"/>
      <c r="C33" s="239"/>
      <c r="D33" s="243"/>
      <c r="E33" s="243"/>
      <c r="F33" s="243"/>
      <c r="G33" s="243"/>
      <c r="H33" s="243"/>
      <c r="I33" s="243"/>
      <c r="J33" s="243"/>
      <c r="K33" s="243"/>
      <c r="L33" s="244"/>
      <c r="M33" s="244"/>
      <c r="N33" s="244"/>
      <c r="O33" s="244"/>
      <c r="P33" s="244"/>
      <c r="Q33" s="244"/>
    </row>
    <row r="34" spans="1:18" ht="15" customHeight="1" outlineLevel="1" thickBot="1" x14ac:dyDescent="0.3">
      <c r="A34" s="242"/>
      <c r="B34" s="242" t="s">
        <v>436</v>
      </c>
      <c r="C34" s="239"/>
      <c r="D34" s="247">
        <f>SUM(D23:D32)</f>
        <v>-1402917187.4469998</v>
      </c>
      <c r="E34" s="247">
        <f t="shared" ref="E34:P34" si="3">SUM(E23:E32)</f>
        <v>-1409448325.2489998</v>
      </c>
      <c r="F34" s="247">
        <f t="shared" si="3"/>
        <v>-1412615965.4300005</v>
      </c>
      <c r="G34" s="247">
        <f t="shared" si="3"/>
        <v>-1418595196.0725</v>
      </c>
      <c r="H34" s="247">
        <f t="shared" si="3"/>
        <v>-1424789500.3645003</v>
      </c>
      <c r="I34" s="247">
        <f t="shared" si="3"/>
        <v>-1431293668.4255002</v>
      </c>
      <c r="J34" s="247">
        <f t="shared" si="3"/>
        <v>-1437317635.0680001</v>
      </c>
      <c r="K34" s="247">
        <f t="shared" si="3"/>
        <v>-1442905774.1375005</v>
      </c>
      <c r="L34" s="247">
        <f t="shared" si="3"/>
        <v>-1449243314.5619998</v>
      </c>
      <c r="M34" s="247">
        <f t="shared" si="3"/>
        <v>-1454275966.1835001</v>
      </c>
      <c r="N34" s="247">
        <f t="shared" si="3"/>
        <v>-1459086201.5435002</v>
      </c>
      <c r="O34" s="247">
        <f t="shared" si="3"/>
        <v>-1465846357.5189998</v>
      </c>
      <c r="P34" s="247">
        <f t="shared" si="3"/>
        <v>-1471417161.0489998</v>
      </c>
      <c r="Q34" s="247">
        <f t="shared" ref="Q34" si="4">SUM(Q23:Q33)</f>
        <v>-1436882089.9002497</v>
      </c>
    </row>
    <row r="35" spans="1:18" ht="15" customHeight="1" outlineLevel="1" thickTop="1" x14ac:dyDescent="0.2">
      <c r="A35" s="68"/>
      <c r="B35" s="173"/>
      <c r="C35" s="239"/>
      <c r="D35" s="243"/>
      <c r="E35" s="243"/>
      <c r="F35" s="243"/>
      <c r="G35" s="250"/>
      <c r="H35" s="251"/>
      <c r="I35" s="252"/>
      <c r="J35" s="252"/>
      <c r="K35" s="252"/>
      <c r="L35" s="168"/>
      <c r="M35" s="168"/>
      <c r="N35" s="168"/>
      <c r="O35" s="168"/>
      <c r="P35" s="168"/>
      <c r="Q35" s="168"/>
    </row>
    <row r="36" spans="1:18" ht="15" customHeight="1" outlineLevel="1" x14ac:dyDescent="0.2">
      <c r="A36" s="68"/>
      <c r="B36" s="173" t="s">
        <v>195</v>
      </c>
      <c r="C36" s="239"/>
      <c r="D36" s="244">
        <v>22721949.550000001</v>
      </c>
      <c r="E36" s="244">
        <v>22720795.5</v>
      </c>
      <c r="F36" s="244">
        <v>22719544.039999999</v>
      </c>
      <c r="G36" s="244">
        <v>22718207.759999998</v>
      </c>
      <c r="H36" s="244">
        <v>22716519.969999999</v>
      </c>
      <c r="I36" s="244">
        <v>22714910.030000001</v>
      </c>
      <c r="J36" s="244">
        <v>22713526.649999999</v>
      </c>
      <c r="K36" s="244">
        <v>22711937.300000001</v>
      </c>
      <c r="L36" s="244">
        <v>22710187.419999998</v>
      </c>
      <c r="M36" s="244">
        <v>22708215.890000001</v>
      </c>
      <c r="N36" s="244">
        <v>22706315.18</v>
      </c>
      <c r="O36" s="244">
        <v>22704389.620000001</v>
      </c>
      <c r="P36" s="244">
        <v>22702466.919999998</v>
      </c>
      <c r="Q36" s="244">
        <f t="shared" si="1"/>
        <v>22713063.13291667</v>
      </c>
    </row>
    <row r="37" spans="1:18" ht="15" customHeight="1" outlineLevel="1" x14ac:dyDescent="0.2">
      <c r="A37" s="68"/>
      <c r="B37" s="173" t="s">
        <v>106</v>
      </c>
      <c r="C37" s="239"/>
      <c r="D37" s="244">
        <v>-5197343.25</v>
      </c>
      <c r="E37" s="244">
        <v>-5293473.25</v>
      </c>
      <c r="F37" s="244">
        <v>-5408334.25</v>
      </c>
      <c r="G37" s="244">
        <v>-7367883.71</v>
      </c>
      <c r="H37" s="244">
        <v>-7532633.4800000004</v>
      </c>
      <c r="I37" s="244">
        <v>-7655812.25</v>
      </c>
      <c r="J37" s="244">
        <v>-5635850.8300000001</v>
      </c>
      <c r="K37" s="244">
        <v>-5756413.0300000003</v>
      </c>
      <c r="L37" s="244">
        <v>-5848988.7000000002</v>
      </c>
      <c r="M37" s="244">
        <v>-6008002.3700000001</v>
      </c>
      <c r="N37" s="244">
        <v>-6138374.8700000001</v>
      </c>
      <c r="O37" s="244">
        <v>-6309949.2000000002</v>
      </c>
      <c r="P37" s="244">
        <v>-6434528.2000000002</v>
      </c>
      <c r="Q37" s="244">
        <f t="shared" si="1"/>
        <v>-6230970.9720833329</v>
      </c>
    </row>
    <row r="38" spans="1:18" ht="15" customHeight="1" outlineLevel="1" x14ac:dyDescent="0.2">
      <c r="A38" s="68"/>
      <c r="B38" s="173" t="s">
        <v>119</v>
      </c>
      <c r="C38" s="239"/>
      <c r="D38" s="244">
        <v>14282972.769999998</v>
      </c>
      <c r="E38" s="244">
        <v>16494833.389999999</v>
      </c>
      <c r="F38" s="244">
        <v>20058020.810000002</v>
      </c>
      <c r="G38" s="244">
        <v>23370721.02</v>
      </c>
      <c r="H38" s="244">
        <v>27497732.75</v>
      </c>
      <c r="I38" s="244">
        <v>28885297.140000001</v>
      </c>
      <c r="J38" s="244">
        <v>29561221.450000003</v>
      </c>
      <c r="K38" s="244">
        <v>29835734.850000001</v>
      </c>
      <c r="L38" s="244">
        <v>30062468.379999999</v>
      </c>
      <c r="M38" s="244">
        <v>30152104.280000001</v>
      </c>
      <c r="N38" s="244">
        <v>30318544.299999997</v>
      </c>
      <c r="O38" s="244">
        <v>30253648.660000004</v>
      </c>
      <c r="P38" s="244">
        <v>30052941.719999999</v>
      </c>
      <c r="Q38" s="244">
        <f t="shared" si="1"/>
        <v>26554857.022916671</v>
      </c>
    </row>
    <row r="39" spans="1:18" ht="15" customHeight="1" outlineLevel="1" x14ac:dyDescent="0.2">
      <c r="A39" s="68"/>
      <c r="B39" s="173"/>
      <c r="C39" s="239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3"/>
      <c r="O39" s="243"/>
      <c r="P39" s="243"/>
      <c r="Q39" s="244"/>
    </row>
    <row r="40" spans="1:18" ht="15" customHeight="1" outlineLevel="1" x14ac:dyDescent="0.2">
      <c r="A40" s="68"/>
      <c r="C40" s="239"/>
      <c r="D40" s="243"/>
      <c r="E40" s="243"/>
      <c r="F40" s="243"/>
      <c r="G40" s="250"/>
      <c r="H40" s="251"/>
      <c r="I40" s="252"/>
      <c r="J40" s="252"/>
      <c r="K40" s="252"/>
      <c r="L40" s="168"/>
      <c r="M40" s="168"/>
      <c r="N40" s="168"/>
      <c r="O40" s="168"/>
      <c r="P40" s="168"/>
      <c r="Q40" s="168"/>
    </row>
    <row r="41" spans="1:18" ht="15" customHeight="1" outlineLevel="1" x14ac:dyDescent="0.2">
      <c r="A41" s="68"/>
      <c r="B41" s="173" t="s">
        <v>121</v>
      </c>
      <c r="C41" s="239"/>
      <c r="D41" s="246">
        <v>-486492796.82946032</v>
      </c>
      <c r="E41" s="246">
        <v>-485688561.10771859</v>
      </c>
      <c r="F41" s="246">
        <v>-485362946.15633488</v>
      </c>
      <c r="G41" s="246">
        <v>-485537544.4345932</v>
      </c>
      <c r="H41" s="246">
        <v>-486016872.71285146</v>
      </c>
      <c r="I41" s="246">
        <v>-486423124.99110973</v>
      </c>
      <c r="J41" s="246">
        <v>-488068047.26936799</v>
      </c>
      <c r="K41" s="246">
        <v>-488413792.54762626</v>
      </c>
      <c r="L41" s="246">
        <v>-488465957.82588458</v>
      </c>
      <c r="M41" s="246">
        <v>-488259063.10414284</v>
      </c>
      <c r="N41" s="246">
        <v>-488017847.38240111</v>
      </c>
      <c r="O41" s="246">
        <v>-487816111.66065943</v>
      </c>
      <c r="P41" s="246">
        <v>-487713387.93891776</v>
      </c>
      <c r="Q41" s="246">
        <f>((D41/2)+SUM(E41:O41)+(P41/2))/12</f>
        <v>-487097746.79807335</v>
      </c>
      <c r="R41" s="329"/>
    </row>
    <row r="42" spans="1:18" ht="15" customHeight="1" outlineLevel="1" x14ac:dyDescent="0.2">
      <c r="A42" s="68"/>
      <c r="B42" s="173"/>
      <c r="C42" s="239"/>
      <c r="D42" s="244"/>
      <c r="E42" s="244"/>
      <c r="F42" s="244"/>
      <c r="G42" s="253"/>
      <c r="H42" s="235"/>
      <c r="I42" s="168"/>
      <c r="J42" s="168"/>
      <c r="K42" s="168"/>
      <c r="L42" s="168"/>
      <c r="M42" s="168"/>
      <c r="N42" s="168"/>
      <c r="O42" s="168"/>
      <c r="P42" s="168"/>
      <c r="Q42" s="168"/>
    </row>
    <row r="43" spans="1:18" ht="15" customHeight="1" outlineLevel="1" thickBot="1" x14ac:dyDescent="0.25">
      <c r="A43" s="68"/>
      <c r="B43" s="254" t="s">
        <v>245</v>
      </c>
      <c r="C43" s="239"/>
      <c r="D43" s="247">
        <f>+D20+D34+D36+D37+D38+D41+D39</f>
        <v>1355884357.9035389</v>
      </c>
      <c r="E43" s="247">
        <f t="shared" ref="E43:P43" si="5">+E20+E34+E36+E37+E38+E41+E39</f>
        <v>1371247539.623281</v>
      </c>
      <c r="F43" s="247">
        <f t="shared" si="5"/>
        <v>1379236551.0036643</v>
      </c>
      <c r="G43" s="247">
        <f t="shared" si="5"/>
        <v>1413098042.3529062</v>
      </c>
      <c r="H43" s="247">
        <f>+H20+H34+H36+H37+H38+H41+H39</f>
        <v>1422471736.2326479</v>
      </c>
      <c r="I43" s="247">
        <f t="shared" si="5"/>
        <v>1425547034.3433895</v>
      </c>
      <c r="J43" s="247">
        <f t="shared" si="5"/>
        <v>1443302318.192632</v>
      </c>
      <c r="K43" s="247">
        <f t="shared" si="5"/>
        <v>1448462981.3948717</v>
      </c>
      <c r="L43" s="247">
        <f t="shared" si="5"/>
        <v>1476005774.5121155</v>
      </c>
      <c r="M43" s="247">
        <f t="shared" si="5"/>
        <v>1486071045.7623563</v>
      </c>
      <c r="N43" s="247">
        <f t="shared" si="5"/>
        <v>1488648715.3840981</v>
      </c>
      <c r="O43" s="247">
        <f t="shared" si="5"/>
        <v>1493632857.9603395</v>
      </c>
      <c r="P43" s="247">
        <f t="shared" si="5"/>
        <v>1506605511.1420822</v>
      </c>
      <c r="Q43" s="247">
        <f>+Q20+Q34+Q36+Q37+Q38+Q41+Q39</f>
        <v>1439914127.6070929</v>
      </c>
    </row>
    <row r="44" spans="1:18" ht="15" customHeight="1" outlineLevel="1" thickTop="1" x14ac:dyDescent="0.2">
      <c r="A44" s="68"/>
      <c r="B44" s="168"/>
      <c r="C44" s="235"/>
      <c r="D44" s="235"/>
      <c r="E44" s="235"/>
      <c r="F44" s="235"/>
      <c r="G44" s="235"/>
      <c r="H44" s="235"/>
      <c r="I44" s="168"/>
      <c r="J44" s="168"/>
      <c r="K44" s="168"/>
      <c r="L44" s="168"/>
      <c r="M44" s="168"/>
      <c r="N44" s="168"/>
      <c r="O44" s="168"/>
      <c r="P44" s="168"/>
      <c r="Q44" s="168"/>
    </row>
    <row r="45" spans="1:18" ht="15" customHeight="1" outlineLevel="1" x14ac:dyDescent="0.2">
      <c r="A45" s="68"/>
      <c r="B45" s="65" t="s">
        <v>133</v>
      </c>
      <c r="C45" s="235"/>
      <c r="D45" s="235"/>
      <c r="E45" s="235"/>
      <c r="F45" s="235"/>
      <c r="G45" s="235"/>
      <c r="H45" s="235"/>
      <c r="I45" s="168"/>
      <c r="J45" s="168"/>
      <c r="K45" s="168"/>
      <c r="L45" s="168"/>
      <c r="M45" s="168"/>
      <c r="N45" s="168"/>
      <c r="O45" s="168"/>
      <c r="P45" s="13"/>
      <c r="Q45" s="13">
        <f>P43</f>
        <v>1506605511.1420822</v>
      </c>
    </row>
    <row r="46" spans="1:18" ht="15" customHeight="1" outlineLevel="1" x14ac:dyDescent="0.2">
      <c r="A46" s="68"/>
      <c r="B46" s="62" t="s">
        <v>134</v>
      </c>
      <c r="C46" s="235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13">
        <f>-+Q41</f>
        <v>487097746.79807335</v>
      </c>
    </row>
    <row r="47" spans="1:18" ht="15" customHeight="1" outlineLevel="1" x14ac:dyDescent="0.2">
      <c r="A47" s="68"/>
      <c r="B47" s="89" t="s">
        <v>137</v>
      </c>
      <c r="C47" s="235"/>
      <c r="D47" s="255"/>
      <c r="E47" s="255"/>
      <c r="F47" s="255"/>
      <c r="G47" s="255"/>
      <c r="H47" s="255"/>
      <c r="I47" s="255"/>
      <c r="J47" s="255"/>
      <c r="K47" s="168"/>
      <c r="L47" s="168"/>
      <c r="M47" s="168"/>
      <c r="N47" s="168"/>
      <c r="O47" s="27"/>
      <c r="P47" s="159"/>
      <c r="Q47" s="159">
        <f>+P41</f>
        <v>-487713387.93891776</v>
      </c>
    </row>
    <row r="48" spans="1:18" ht="15" customHeight="1" outlineLevel="1" thickBot="1" x14ac:dyDescent="0.25">
      <c r="A48" s="68"/>
      <c r="B48" s="256" t="s">
        <v>246</v>
      </c>
      <c r="C48" s="235"/>
      <c r="D48" s="235"/>
      <c r="E48" s="235"/>
      <c r="F48" s="235"/>
      <c r="G48" s="235"/>
      <c r="H48" s="235"/>
      <c r="I48" s="168"/>
      <c r="J48" s="168"/>
      <c r="K48" s="168"/>
      <c r="L48" s="168"/>
      <c r="M48" s="168"/>
      <c r="N48" s="168"/>
      <c r="O48" s="168"/>
      <c r="P48" s="31"/>
      <c r="Q48" s="234">
        <f>SUM(Q45:Q47)</f>
        <v>1505989870.0012379</v>
      </c>
    </row>
    <row r="49" spans="1:17" ht="15" customHeight="1" thickTop="1" x14ac:dyDescent="0.2">
      <c r="A49" s="68"/>
      <c r="B49" s="168"/>
      <c r="C49" s="235"/>
      <c r="D49" s="235"/>
      <c r="E49" s="235"/>
      <c r="F49" s="235"/>
      <c r="G49" s="235"/>
      <c r="H49" s="235"/>
      <c r="I49" s="168"/>
      <c r="J49" s="168"/>
      <c r="K49" s="168"/>
      <c r="L49" s="168"/>
      <c r="M49" s="168"/>
      <c r="N49" s="168"/>
      <c r="O49" s="168"/>
      <c r="P49" s="235"/>
      <c r="Q49" s="168"/>
    </row>
    <row r="50" spans="1:17" ht="15" customHeight="1" thickBot="1" x14ac:dyDescent="0.25">
      <c r="A50" s="451" t="s">
        <v>8</v>
      </c>
      <c r="B50" s="451"/>
      <c r="C50" s="451"/>
      <c r="D50" s="235"/>
      <c r="E50" s="235"/>
      <c r="F50" s="235"/>
      <c r="G50" s="235"/>
      <c r="H50" s="235"/>
      <c r="I50" s="168"/>
      <c r="J50" s="168"/>
      <c r="K50" s="168"/>
      <c r="L50" s="168"/>
      <c r="M50" s="168"/>
      <c r="N50" s="168"/>
      <c r="O50" s="168"/>
      <c r="P50" s="168"/>
      <c r="Q50" s="59" t="s">
        <v>589</v>
      </c>
    </row>
    <row r="51" spans="1:17" ht="15" customHeight="1" x14ac:dyDescent="0.25">
      <c r="A51" s="191" t="s">
        <v>36</v>
      </c>
      <c r="B51" s="193"/>
      <c r="C51" s="239"/>
      <c r="D51" s="240"/>
      <c r="E51" s="240"/>
      <c r="F51" s="240"/>
      <c r="G51" s="241"/>
      <c r="H51" s="235"/>
      <c r="I51" s="168"/>
      <c r="J51" s="168"/>
      <c r="K51" s="168"/>
      <c r="L51" s="168"/>
      <c r="M51" s="168"/>
      <c r="N51" s="168"/>
      <c r="O51" s="168"/>
      <c r="P51" s="168"/>
      <c r="Q51" s="59" t="s">
        <v>596</v>
      </c>
    </row>
    <row r="52" spans="1:17" ht="15" customHeight="1" x14ac:dyDescent="0.25">
      <c r="A52" s="242"/>
      <c r="B52" s="242" t="s">
        <v>431</v>
      </c>
      <c r="C52" s="239"/>
      <c r="D52" s="244">
        <v>14213571.193182994</v>
      </c>
      <c r="E52" s="244">
        <v>14387280.428693993</v>
      </c>
      <c r="F52" s="244">
        <v>14393563.407025993</v>
      </c>
      <c r="G52" s="244">
        <v>14537433.392250992</v>
      </c>
      <c r="H52" s="244">
        <v>14569530.336448992</v>
      </c>
      <c r="I52" s="244">
        <v>14631834.28950699</v>
      </c>
      <c r="J52" s="244">
        <v>14674141.57447299</v>
      </c>
      <c r="K52" s="244">
        <v>14766480.63907999</v>
      </c>
      <c r="L52" s="244">
        <v>16428398.974952992</v>
      </c>
      <c r="M52" s="244">
        <v>16437388.47204799</v>
      </c>
      <c r="N52" s="244">
        <v>16470685.063166996</v>
      </c>
      <c r="O52" s="244">
        <v>16545838.684680995</v>
      </c>
      <c r="P52" s="244">
        <v>17073445.408370994</v>
      </c>
      <c r="Q52" s="244">
        <f>((D52/2)+SUM(E52:O52)+(P52/2))/12</f>
        <v>15290506.963592159</v>
      </c>
    </row>
    <row r="53" spans="1:17" ht="15" customHeight="1" x14ac:dyDescent="0.25">
      <c r="A53" s="242"/>
      <c r="B53" s="242" t="s">
        <v>432</v>
      </c>
      <c r="C53" s="239"/>
      <c r="D53" s="244">
        <v>447</v>
      </c>
      <c r="E53" s="244">
        <v>447</v>
      </c>
      <c r="F53" s="244">
        <v>447</v>
      </c>
      <c r="G53" s="244">
        <v>447</v>
      </c>
      <c r="H53" s="244">
        <v>447</v>
      </c>
      <c r="I53" s="244">
        <v>447</v>
      </c>
      <c r="J53" s="244">
        <v>447</v>
      </c>
      <c r="K53" s="244">
        <v>447</v>
      </c>
      <c r="L53" s="244">
        <v>447</v>
      </c>
      <c r="M53" s="244">
        <v>447</v>
      </c>
      <c r="N53" s="244">
        <v>447</v>
      </c>
      <c r="O53" s="244">
        <v>447</v>
      </c>
      <c r="P53" s="244">
        <v>447</v>
      </c>
      <c r="Q53" s="244">
        <f t="shared" si="1"/>
        <v>447</v>
      </c>
    </row>
    <row r="54" spans="1:17" ht="15" customHeight="1" x14ac:dyDescent="0.25">
      <c r="A54" s="242"/>
      <c r="B54" s="242" t="s">
        <v>174</v>
      </c>
      <c r="C54" s="239"/>
      <c r="D54" s="244">
        <v>0</v>
      </c>
      <c r="E54" s="244">
        <v>0</v>
      </c>
      <c r="F54" s="244">
        <v>0</v>
      </c>
      <c r="G54" s="244">
        <v>0</v>
      </c>
      <c r="H54" s="244">
        <v>0</v>
      </c>
      <c r="I54" s="244">
        <v>0</v>
      </c>
      <c r="J54" s="244">
        <v>0</v>
      </c>
      <c r="K54" s="244">
        <v>0</v>
      </c>
      <c r="L54" s="244">
        <v>0</v>
      </c>
      <c r="M54" s="244">
        <v>0</v>
      </c>
      <c r="N54" s="244">
        <v>0</v>
      </c>
      <c r="O54" s="244">
        <v>0</v>
      </c>
      <c r="P54" s="244">
        <v>0</v>
      </c>
      <c r="Q54" s="244">
        <f t="shared" si="1"/>
        <v>0</v>
      </c>
    </row>
    <row r="55" spans="1:17" ht="15" customHeight="1" x14ac:dyDescent="0.25">
      <c r="A55" s="242"/>
      <c r="B55" s="242" t="s">
        <v>175</v>
      </c>
      <c r="C55" s="239"/>
      <c r="D55" s="244">
        <v>1115001.07</v>
      </c>
      <c r="E55" s="244">
        <v>1115001.0699999996</v>
      </c>
      <c r="F55" s="244">
        <v>1115001.0699999996</v>
      </c>
      <c r="G55" s="244">
        <v>1115001.07</v>
      </c>
      <c r="H55" s="244">
        <v>1115001.0699999996</v>
      </c>
      <c r="I55" s="244">
        <v>1115202.1499999997</v>
      </c>
      <c r="J55" s="244">
        <v>1115202.1499999997</v>
      </c>
      <c r="K55" s="244">
        <v>1115202.1499999997</v>
      </c>
      <c r="L55" s="244">
        <v>1115634.2599999998</v>
      </c>
      <c r="M55" s="244">
        <v>1115634.2599999998</v>
      </c>
      <c r="N55" s="244">
        <v>1115634.2599999998</v>
      </c>
      <c r="O55" s="244">
        <v>1115634.2599999998</v>
      </c>
      <c r="P55" s="244">
        <v>1115634.2599999998</v>
      </c>
      <c r="Q55" s="244">
        <f t="shared" si="1"/>
        <v>1115288.7862499997</v>
      </c>
    </row>
    <row r="56" spans="1:17" ht="15" customHeight="1" x14ac:dyDescent="0.25">
      <c r="A56" s="242"/>
      <c r="B56" s="242" t="s">
        <v>176</v>
      </c>
      <c r="C56" s="239"/>
      <c r="D56" s="244">
        <v>300721252.83999997</v>
      </c>
      <c r="E56" s="244">
        <v>302557318.36000007</v>
      </c>
      <c r="F56" s="244">
        <v>303717984.20000011</v>
      </c>
      <c r="G56" s="244">
        <v>305117836.14000005</v>
      </c>
      <c r="H56" s="244">
        <v>306141865.35000008</v>
      </c>
      <c r="I56" s="244">
        <v>306987778.66000003</v>
      </c>
      <c r="J56" s="244">
        <v>308279157.26000005</v>
      </c>
      <c r="K56" s="244">
        <v>308706366.22000003</v>
      </c>
      <c r="L56" s="244">
        <v>309364404.78000009</v>
      </c>
      <c r="M56" s="244">
        <v>310383260.22000003</v>
      </c>
      <c r="N56" s="244">
        <v>311310824.96999997</v>
      </c>
      <c r="O56" s="244">
        <v>312479514.77000004</v>
      </c>
      <c r="P56" s="244">
        <v>313208955.81</v>
      </c>
      <c r="Q56" s="244">
        <f>((D56/2)+SUM(E56:O56)+(P56/2))/12</f>
        <v>307667617.9379167</v>
      </c>
    </row>
    <row r="57" spans="1:17" ht="15" customHeight="1" x14ac:dyDescent="0.25">
      <c r="A57" s="242"/>
      <c r="B57" s="242" t="s">
        <v>188</v>
      </c>
      <c r="C57" s="239"/>
      <c r="D57" s="244">
        <v>16197409.886976002</v>
      </c>
      <c r="E57" s="244">
        <v>16434912.673784005</v>
      </c>
      <c r="F57" s="244">
        <v>16420114.964024004</v>
      </c>
      <c r="G57" s="244">
        <v>17233090.689632002</v>
      </c>
      <c r="H57" s="244">
        <v>17520287.479864005</v>
      </c>
      <c r="I57" s="244">
        <v>17694175.053184006</v>
      </c>
      <c r="J57" s="244">
        <v>18679935.273048006</v>
      </c>
      <c r="K57" s="244">
        <v>19189296.289536007</v>
      </c>
      <c r="L57" s="244">
        <v>19827201.015000008</v>
      </c>
      <c r="M57" s="244">
        <v>20269267.345432006</v>
      </c>
      <c r="N57" s="244">
        <v>20322228.391144004</v>
      </c>
      <c r="O57" s="244">
        <v>20390470.876080006</v>
      </c>
      <c r="P57" s="244">
        <v>20775548.989904005</v>
      </c>
      <c r="Q57" s="244">
        <f>((D57/2)+SUM(E57:O57)+(P57/2))/12</f>
        <v>18538954.957430672</v>
      </c>
    </row>
    <row r="58" spans="1:17" ht="15" customHeight="1" x14ac:dyDescent="0.25">
      <c r="A58" s="242"/>
      <c r="B58" s="191" t="s">
        <v>433</v>
      </c>
      <c r="C58" s="239"/>
      <c r="D58" s="244">
        <v>1818367.7528599121</v>
      </c>
      <c r="E58" s="244">
        <v>1819039.320033212</v>
      </c>
      <c r="F58" s="244">
        <v>1819039.320033212</v>
      </c>
      <c r="G58" s="244">
        <v>1819039.320033212</v>
      </c>
      <c r="H58" s="244">
        <v>1819881.6065253839</v>
      </c>
      <c r="I58" s="244">
        <v>1819881.6065253839</v>
      </c>
      <c r="J58" s="244">
        <v>1819881.6065253839</v>
      </c>
      <c r="K58" s="244">
        <v>1819039.320033212</v>
      </c>
      <c r="L58" s="244">
        <v>1819516.6157121093</v>
      </c>
      <c r="M58" s="244">
        <v>1971508.3208183809</v>
      </c>
      <c r="N58" s="244">
        <v>1972189.5901704389</v>
      </c>
      <c r="O58" s="244">
        <v>1971546.8204374525</v>
      </c>
      <c r="P58" s="244">
        <v>1973199.1896815554</v>
      </c>
      <c r="Q58" s="244">
        <f t="shared" si="1"/>
        <v>1863862.2431765096</v>
      </c>
    </row>
    <row r="59" spans="1:17" ht="15" customHeight="1" x14ac:dyDescent="0.25">
      <c r="A59" s="242"/>
      <c r="B59" s="191" t="s">
        <v>434</v>
      </c>
      <c r="C59" s="239"/>
      <c r="D59" s="244">
        <v>6108811.9129995592</v>
      </c>
      <c r="E59" s="244">
        <v>6111216.158046945</v>
      </c>
      <c r="F59" s="244">
        <v>6111414.832788039</v>
      </c>
      <c r="G59" s="244">
        <v>6112606.0872106487</v>
      </c>
      <c r="H59" s="244">
        <v>6112977.1996628502</v>
      </c>
      <c r="I59" s="244">
        <v>6113513.6354040643</v>
      </c>
      <c r="J59" s="244">
        <v>6138914.0372346947</v>
      </c>
      <c r="K59" s="244">
        <v>6141884.467019638</v>
      </c>
      <c r="L59" s="244">
        <v>6142212.5546231046</v>
      </c>
      <c r="M59" s="244">
        <v>6146052.1553200902</v>
      </c>
      <c r="N59" s="244">
        <v>6146246.3088528728</v>
      </c>
      <c r="O59" s="244">
        <v>6152054.168593823</v>
      </c>
      <c r="P59" s="244">
        <v>6152793.4570769612</v>
      </c>
      <c r="Q59" s="244">
        <f t="shared" si="1"/>
        <v>6129991.1908162534</v>
      </c>
    </row>
    <row r="60" spans="1:17" ht="15" customHeight="1" x14ac:dyDescent="0.25">
      <c r="A60" s="242"/>
      <c r="B60" s="242" t="s">
        <v>200</v>
      </c>
      <c r="C60" s="239"/>
      <c r="D60" s="244">
        <v>32557522.962627992</v>
      </c>
      <c r="E60" s="244">
        <v>32805056.55945899</v>
      </c>
      <c r="F60" s="244">
        <v>32806817.947344985</v>
      </c>
      <c r="G60" s="244">
        <v>33047073.773292981</v>
      </c>
      <c r="H60" s="244">
        <v>33048498.400491986</v>
      </c>
      <c r="I60" s="244">
        <v>33047688.042894978</v>
      </c>
      <c r="J60" s="244">
        <v>33110374.891298983</v>
      </c>
      <c r="K60" s="244">
        <v>33111179.903350983</v>
      </c>
      <c r="L60" s="244">
        <v>33345280.634208977</v>
      </c>
      <c r="M60" s="244">
        <v>33347060.032635979</v>
      </c>
      <c r="N60" s="244">
        <v>33357195.82698898</v>
      </c>
      <c r="O60" s="244">
        <v>33357295.171969976</v>
      </c>
      <c r="P60" s="244">
        <v>33357296.392418981</v>
      </c>
      <c r="Q60" s="245">
        <f>((D60/2)+SUM(E60:O60)+(P60/2))/12</f>
        <v>33111744.238455106</v>
      </c>
    </row>
    <row r="61" spans="1:17" ht="15" customHeight="1" x14ac:dyDescent="0.25">
      <c r="A61" s="242"/>
      <c r="B61" s="242" t="s">
        <v>244</v>
      </c>
      <c r="C61" s="239"/>
      <c r="D61" s="246">
        <v>415468.22650400014</v>
      </c>
      <c r="E61" s="246">
        <v>415468.22650400014</v>
      </c>
      <c r="F61" s="246">
        <v>415468.22650400014</v>
      </c>
      <c r="G61" s="246">
        <v>415468.22650400014</v>
      </c>
      <c r="H61" s="246">
        <v>415468.22650400014</v>
      </c>
      <c r="I61" s="246">
        <v>415468.22650400014</v>
      </c>
      <c r="J61" s="246">
        <v>415468.22650400014</v>
      </c>
      <c r="K61" s="246">
        <v>415468.22650400014</v>
      </c>
      <c r="L61" s="246">
        <v>415468.22650400014</v>
      </c>
      <c r="M61" s="246">
        <v>415468.22650400014</v>
      </c>
      <c r="N61" s="246">
        <v>415468.22650400014</v>
      </c>
      <c r="O61" s="246">
        <v>415468.22650400014</v>
      </c>
      <c r="P61" s="246">
        <v>415468.22650400014</v>
      </c>
      <c r="Q61" s="246">
        <f t="shared" si="1"/>
        <v>415468.22650400008</v>
      </c>
    </row>
    <row r="62" spans="1:17" ht="15" customHeight="1" x14ac:dyDescent="0.25">
      <c r="A62" s="242"/>
      <c r="B62" s="242"/>
      <c r="C62" s="239"/>
      <c r="D62" s="244"/>
      <c r="E62" s="244"/>
      <c r="F62" s="244"/>
      <c r="G62" s="244"/>
      <c r="H62" s="244"/>
      <c r="I62" s="244"/>
      <c r="J62" s="244"/>
      <c r="K62" s="244"/>
      <c r="L62" s="244"/>
      <c r="M62" s="244"/>
      <c r="N62" s="244"/>
      <c r="O62" s="244"/>
      <c r="P62" s="244"/>
      <c r="Q62" s="244"/>
    </row>
    <row r="63" spans="1:17" ht="15" customHeight="1" thickBot="1" x14ac:dyDescent="0.3">
      <c r="A63" s="242"/>
      <c r="B63" s="242" t="s">
        <v>201</v>
      </c>
      <c r="C63" s="239"/>
      <c r="D63" s="247">
        <f>SUM(D52:D62)</f>
        <v>373147852.84515047</v>
      </c>
      <c r="E63" s="247">
        <f t="shared" ref="E63:P63" si="6">SUM(E52:E62)</f>
        <v>375645739.79652125</v>
      </c>
      <c r="F63" s="247">
        <f t="shared" si="6"/>
        <v>376799850.96772033</v>
      </c>
      <c r="G63" s="247">
        <f t="shared" si="6"/>
        <v>379397995.69892389</v>
      </c>
      <c r="H63" s="247">
        <f t="shared" si="6"/>
        <v>380743956.66949737</v>
      </c>
      <c r="I63" s="247">
        <f t="shared" si="6"/>
        <v>381825988.66401947</v>
      </c>
      <c r="J63" s="247">
        <f t="shared" si="6"/>
        <v>384233522.01908416</v>
      </c>
      <c r="K63" s="247">
        <f t="shared" si="6"/>
        <v>385265364.21552384</v>
      </c>
      <c r="L63" s="247">
        <f t="shared" si="6"/>
        <v>388458564.0610013</v>
      </c>
      <c r="M63" s="247">
        <f t="shared" si="6"/>
        <v>390086086.03275847</v>
      </c>
      <c r="N63" s="247">
        <f t="shared" si="6"/>
        <v>391110919.63682729</v>
      </c>
      <c r="O63" s="247">
        <f t="shared" si="6"/>
        <v>392428269.9782663</v>
      </c>
      <c r="P63" s="247">
        <f t="shared" si="6"/>
        <v>394072788.73395652</v>
      </c>
      <c r="Q63" s="247">
        <f>SUM(Q52:Q62)</f>
        <v>384133881.54414141</v>
      </c>
    </row>
    <row r="64" spans="1:17" ht="15" customHeight="1" thickTop="1" x14ac:dyDescent="0.25">
      <c r="A64" s="192"/>
      <c r="B64" s="192"/>
      <c r="C64" s="239"/>
      <c r="D64" s="244"/>
      <c r="E64" s="244"/>
      <c r="F64" s="244"/>
      <c r="G64" s="244"/>
      <c r="H64" s="244"/>
      <c r="I64" s="244"/>
      <c r="J64" s="244"/>
      <c r="K64" s="244"/>
      <c r="L64" s="244"/>
      <c r="M64" s="244"/>
      <c r="N64" s="244"/>
      <c r="O64" s="244"/>
      <c r="P64" s="244"/>
      <c r="Q64" s="168"/>
    </row>
    <row r="65" spans="1:18" ht="15" customHeight="1" x14ac:dyDescent="0.25">
      <c r="A65" s="191" t="s">
        <v>435</v>
      </c>
      <c r="B65" s="193"/>
      <c r="C65" s="239"/>
      <c r="D65" s="244"/>
      <c r="E65" s="244"/>
      <c r="F65" s="244"/>
      <c r="G65" s="239"/>
      <c r="H65" s="235"/>
      <c r="I65" s="168"/>
      <c r="J65" s="168"/>
      <c r="K65" s="168"/>
      <c r="L65" s="168"/>
      <c r="M65" s="168"/>
      <c r="N65" s="168"/>
      <c r="O65" s="168"/>
      <c r="P65" s="168"/>
      <c r="Q65" s="244"/>
    </row>
    <row r="66" spans="1:18" ht="15" customHeight="1" x14ac:dyDescent="0.25">
      <c r="A66" s="242"/>
      <c r="B66" s="242" t="s">
        <v>431</v>
      </c>
      <c r="C66" s="239"/>
      <c r="D66" s="244">
        <v>-8165254.770647997</v>
      </c>
      <c r="E66" s="244">
        <v>-8221832.751602998</v>
      </c>
      <c r="F66" s="244">
        <v>-8278918.0271919975</v>
      </c>
      <c r="G66" s="244">
        <v>-8336433.2045959979</v>
      </c>
      <c r="H66" s="244">
        <v>-8398704.9405279979</v>
      </c>
      <c r="I66" s="244">
        <v>-8458104.9823759962</v>
      </c>
      <c r="J66" s="244">
        <v>-8517799.8797609955</v>
      </c>
      <c r="K66" s="244">
        <v>-8577876.5043149963</v>
      </c>
      <c r="L66" s="244">
        <v>-8642908.2224669959</v>
      </c>
      <c r="M66" s="244">
        <v>-8635040.790381996</v>
      </c>
      <c r="N66" s="244">
        <v>-8706760.0180689972</v>
      </c>
      <c r="O66" s="244">
        <v>-8778515.0244989991</v>
      </c>
      <c r="P66" s="244">
        <v>-8852541.7453209963</v>
      </c>
      <c r="Q66" s="244">
        <f>((D66/2)+SUM(E66:O66)+(P66/2))/12</f>
        <v>-8505149.3836477064</v>
      </c>
    </row>
    <row r="67" spans="1:18" ht="15" customHeight="1" x14ac:dyDescent="0.25">
      <c r="A67" s="242"/>
      <c r="B67" s="242" t="s">
        <v>432</v>
      </c>
      <c r="C67" s="239"/>
      <c r="D67" s="244">
        <v>0</v>
      </c>
      <c r="E67" s="244">
        <v>0</v>
      </c>
      <c r="F67" s="244">
        <v>0</v>
      </c>
      <c r="G67" s="244">
        <v>0</v>
      </c>
      <c r="H67" s="244">
        <v>0</v>
      </c>
      <c r="I67" s="244">
        <v>0</v>
      </c>
      <c r="J67" s="244">
        <v>0</v>
      </c>
      <c r="K67" s="244">
        <v>0</v>
      </c>
      <c r="L67" s="244">
        <v>0</v>
      </c>
      <c r="M67" s="244">
        <v>0</v>
      </c>
      <c r="N67" s="244">
        <v>0</v>
      </c>
      <c r="O67" s="244">
        <v>0</v>
      </c>
      <c r="P67" s="244">
        <v>0</v>
      </c>
      <c r="Q67" s="244">
        <f t="shared" si="1"/>
        <v>0</v>
      </c>
    </row>
    <row r="68" spans="1:18" ht="15" customHeight="1" x14ac:dyDescent="0.25">
      <c r="A68" s="242"/>
      <c r="B68" s="242" t="s">
        <v>174</v>
      </c>
      <c r="C68" s="239"/>
      <c r="D68" s="244">
        <v>0</v>
      </c>
      <c r="E68" s="244">
        <v>0</v>
      </c>
      <c r="F68" s="244">
        <v>0</v>
      </c>
      <c r="G68" s="244">
        <v>0</v>
      </c>
      <c r="H68" s="244">
        <v>0</v>
      </c>
      <c r="I68" s="244">
        <v>0</v>
      </c>
      <c r="J68" s="244">
        <v>0</v>
      </c>
      <c r="K68" s="244">
        <v>0</v>
      </c>
      <c r="L68" s="244">
        <v>0</v>
      </c>
      <c r="M68" s="244">
        <v>0</v>
      </c>
      <c r="N68" s="244">
        <v>0</v>
      </c>
      <c r="O68" s="244">
        <v>0</v>
      </c>
      <c r="P68" s="244">
        <v>0</v>
      </c>
      <c r="Q68" s="244">
        <f t="shared" si="1"/>
        <v>0</v>
      </c>
    </row>
    <row r="69" spans="1:18" ht="15" customHeight="1" x14ac:dyDescent="0.25">
      <c r="A69" s="242"/>
      <c r="B69" s="242" t="s">
        <v>175</v>
      </c>
      <c r="C69" s="239"/>
      <c r="D69" s="244">
        <v>-186318.77</v>
      </c>
      <c r="E69" s="244">
        <v>-188065.57</v>
      </c>
      <c r="F69" s="244">
        <v>-189812.39</v>
      </c>
      <c r="G69" s="244">
        <v>-191559.23</v>
      </c>
      <c r="H69" s="244">
        <v>-193306.07</v>
      </c>
      <c r="I69" s="244">
        <v>-195053.04</v>
      </c>
      <c r="J69" s="244">
        <v>-196800.24000000002</v>
      </c>
      <c r="K69" s="244">
        <v>-198547.34</v>
      </c>
      <c r="L69" s="244">
        <v>-200294.86</v>
      </c>
      <c r="M69" s="244">
        <v>-202042.65</v>
      </c>
      <c r="N69" s="244">
        <v>-203790.47</v>
      </c>
      <c r="O69" s="244">
        <v>-205538.34</v>
      </c>
      <c r="P69" s="244">
        <v>-207286.18</v>
      </c>
      <c r="Q69" s="244">
        <f t="shared" si="1"/>
        <v>-196801.05624999999</v>
      </c>
    </row>
    <row r="70" spans="1:18" ht="15" customHeight="1" x14ac:dyDescent="0.25">
      <c r="A70" s="242"/>
      <c r="B70" s="242" t="s">
        <v>176</v>
      </c>
      <c r="C70" s="239"/>
      <c r="D70" s="244">
        <v>-118805564.54000001</v>
      </c>
      <c r="E70" s="244">
        <v>-119412666.38000001</v>
      </c>
      <c r="F70" s="244">
        <v>-120011075.34000002</v>
      </c>
      <c r="G70" s="244">
        <v>-120607643.42999999</v>
      </c>
      <c r="H70" s="244">
        <v>-121208638.11</v>
      </c>
      <c r="I70" s="244">
        <v>-121764580.92000002</v>
      </c>
      <c r="J70" s="244">
        <v>-122251227.55</v>
      </c>
      <c r="K70" s="244">
        <v>-122713206.16</v>
      </c>
      <c r="L70" s="244">
        <v>-123198643.67</v>
      </c>
      <c r="M70" s="244">
        <v>-123697435.06</v>
      </c>
      <c r="N70" s="244">
        <v>-124120784.64000002</v>
      </c>
      <c r="O70" s="244">
        <v>-124695494.04000001</v>
      </c>
      <c r="P70" s="244">
        <v>-125081794.73999996</v>
      </c>
      <c r="Q70" s="244">
        <f t="shared" si="1"/>
        <v>-122135422.91166665</v>
      </c>
    </row>
    <row r="71" spans="1:18" ht="15" customHeight="1" x14ac:dyDescent="0.25">
      <c r="A71" s="242"/>
      <c r="B71" s="242" t="s">
        <v>188</v>
      </c>
      <c r="C71" s="239"/>
      <c r="D71" s="244">
        <v>-5558903.4522960009</v>
      </c>
      <c r="E71" s="244">
        <v>-5686642.3980640024</v>
      </c>
      <c r="F71" s="244">
        <v>-5450231.3149360018</v>
      </c>
      <c r="G71" s="244">
        <v>-5550344.2611200027</v>
      </c>
      <c r="H71" s="244">
        <v>-5604055.2985360008</v>
      </c>
      <c r="I71" s="244">
        <v>-5742931.5518960031</v>
      </c>
      <c r="J71" s="244">
        <v>-5856615.9734480008</v>
      </c>
      <c r="K71" s="244">
        <v>-5972991.720544003</v>
      </c>
      <c r="L71" s="244">
        <v>-6108620.7823680006</v>
      </c>
      <c r="M71" s="244">
        <v>-6253463.4197040005</v>
      </c>
      <c r="N71" s="244">
        <v>-6400424.8606800027</v>
      </c>
      <c r="O71" s="244">
        <v>-6528343.1339680012</v>
      </c>
      <c r="P71" s="244">
        <v>-6656419.6137600001</v>
      </c>
      <c r="Q71" s="244">
        <f t="shared" si="1"/>
        <v>-5938527.1873576678</v>
      </c>
    </row>
    <row r="72" spans="1:18" ht="15" customHeight="1" x14ac:dyDescent="0.25">
      <c r="A72" s="242"/>
      <c r="B72" s="191" t="s">
        <v>433</v>
      </c>
      <c r="C72" s="239"/>
      <c r="D72" s="244">
        <v>-68274.458277797865</v>
      </c>
      <c r="E72" s="244">
        <v>-68274.458277797865</v>
      </c>
      <c r="F72" s="244">
        <v>-68274.458277797865</v>
      </c>
      <c r="G72" s="244">
        <v>-68274.458277797865</v>
      </c>
      <c r="H72" s="244">
        <v>-68274.458277797865</v>
      </c>
      <c r="I72" s="244">
        <v>-68274.458277797865</v>
      </c>
      <c r="J72" s="244">
        <v>-68274.458277797865</v>
      </c>
      <c r="K72" s="244">
        <v>-68274.458277797865</v>
      </c>
      <c r="L72" s="244">
        <v>-68274.458277797865</v>
      </c>
      <c r="M72" s="244">
        <v>-68274.458277797865</v>
      </c>
      <c r="N72" s="244">
        <v>-68274.458277797865</v>
      </c>
      <c r="O72" s="244">
        <v>-68274.458277797865</v>
      </c>
      <c r="P72" s="244">
        <v>-68274.458277797865</v>
      </c>
      <c r="Q72" s="244">
        <f t="shared" si="1"/>
        <v>-68274.458277797865</v>
      </c>
    </row>
    <row r="73" spans="1:18" ht="15" customHeight="1" x14ac:dyDescent="0.25">
      <c r="A73" s="242"/>
      <c r="B73" s="191" t="s">
        <v>434</v>
      </c>
      <c r="C73" s="239"/>
      <c r="D73" s="244">
        <v>-1070137.0334659077</v>
      </c>
      <c r="E73" s="244">
        <v>-1081695.1715365737</v>
      </c>
      <c r="F73" s="244">
        <v>-1093255.7658641173</v>
      </c>
      <c r="G73" s="244">
        <v>-1104817.5463362869</v>
      </c>
      <c r="H73" s="244">
        <v>-1116380.8781714959</v>
      </c>
      <c r="I73" s="244">
        <v>-1127945.1491397694</v>
      </c>
      <c r="J73" s="244">
        <v>-1139533.8946330959</v>
      </c>
      <c r="K73" s="244">
        <v>-1151149.5024299014</v>
      </c>
      <c r="L73" s="244">
        <v>-1162768.1893114154</v>
      </c>
      <c r="M73" s="244">
        <v>-1160100.252493053</v>
      </c>
      <c r="N73" s="244">
        <v>-1171726.6643961978</v>
      </c>
      <c r="O73" s="244">
        <v>-1183358.7029455327</v>
      </c>
      <c r="P73" s="244">
        <v>-1194997.1491215057</v>
      </c>
      <c r="Q73" s="244">
        <f>((D73/2)+SUM(E73:O73)+(P73/2))/12</f>
        <v>-1135441.5673792621</v>
      </c>
    </row>
    <row r="74" spans="1:18" ht="15" customHeight="1" x14ac:dyDescent="0.25">
      <c r="A74" s="242"/>
      <c r="B74" s="242" t="s">
        <v>200</v>
      </c>
      <c r="C74" s="239"/>
      <c r="D74" s="244">
        <v>-14740458.096090397</v>
      </c>
      <c r="E74" s="244">
        <v>-14844796.904327067</v>
      </c>
      <c r="F74" s="244">
        <v>-14899213.877522733</v>
      </c>
      <c r="G74" s="244">
        <v>-14953778.862319397</v>
      </c>
      <c r="H74" s="244">
        <v>-15008495.541684063</v>
      </c>
      <c r="I74" s="244">
        <v>-15063220.665820731</v>
      </c>
      <c r="J74" s="244">
        <v>-15117976.537921399</v>
      </c>
      <c r="K74" s="244">
        <v>-15172776.18295506</v>
      </c>
      <c r="L74" s="244">
        <v>-15227782.96272273</v>
      </c>
      <c r="M74" s="244">
        <v>-15283008.927131398</v>
      </c>
      <c r="N74" s="244">
        <v>-15338265.469787063</v>
      </c>
      <c r="O74" s="244">
        <v>-15393481.708438734</v>
      </c>
      <c r="P74" s="244">
        <v>-15448724.117019402</v>
      </c>
      <c r="Q74" s="245">
        <f>((D74/2)+SUM(E74:O74)+(P74/2))/12</f>
        <v>-15116449.062265439</v>
      </c>
    </row>
    <row r="75" spans="1:18" ht="15" customHeight="1" x14ac:dyDescent="0.25">
      <c r="A75" s="242"/>
      <c r="B75" s="242" t="s">
        <v>244</v>
      </c>
      <c r="C75" s="239"/>
      <c r="D75" s="246">
        <v>-244568.43357600007</v>
      </c>
      <c r="E75" s="246">
        <v>-245298.5854880001</v>
      </c>
      <c r="F75" s="246">
        <v>-246028.73192000008</v>
      </c>
      <c r="G75" s="246">
        <v>-246758.91013600008</v>
      </c>
      <c r="H75" s="246">
        <v>-247489.07081600008</v>
      </c>
      <c r="I75" s="246">
        <v>-248219.2205360001</v>
      </c>
      <c r="J75" s="246">
        <v>-248949.38669600006</v>
      </c>
      <c r="K75" s="246">
        <v>-249679.54408800011</v>
      </c>
      <c r="L75" s="246">
        <v>-250409.69380800007</v>
      </c>
      <c r="M75" s="246">
        <v>-251139.84243200006</v>
      </c>
      <c r="N75" s="246">
        <v>-251869.99872800004</v>
      </c>
      <c r="O75" s="246">
        <v>-252600.14296800009</v>
      </c>
      <c r="P75" s="246">
        <v>-253330.31022400007</v>
      </c>
      <c r="Q75" s="246">
        <f>((D75/2)+SUM(E75:O75)+(P75/2))/12</f>
        <v>-248949.37495966675</v>
      </c>
    </row>
    <row r="76" spans="1:18" ht="15" customHeight="1" x14ac:dyDescent="0.25">
      <c r="A76" s="242"/>
      <c r="B76" s="242"/>
      <c r="C76" s="239"/>
      <c r="D76" s="244"/>
      <c r="E76" s="244"/>
      <c r="F76" s="244"/>
      <c r="G76" s="244"/>
      <c r="H76" s="244"/>
      <c r="I76" s="244"/>
      <c r="J76" s="244"/>
      <c r="K76" s="244"/>
      <c r="L76" s="244"/>
      <c r="M76" s="244"/>
      <c r="N76" s="244"/>
      <c r="O76" s="244"/>
      <c r="P76" s="244"/>
      <c r="Q76" s="244"/>
    </row>
    <row r="77" spans="1:18" ht="15" customHeight="1" thickBot="1" x14ac:dyDescent="0.3">
      <c r="A77" s="242"/>
      <c r="B77" s="242" t="s">
        <v>436</v>
      </c>
      <c r="C77" s="239"/>
      <c r="D77" s="247">
        <f>SUM(D66:D76)</f>
        <v>-148839479.5543541</v>
      </c>
      <c r="E77" s="247">
        <f t="shared" ref="E77:P77" si="7">SUM(E66:E76)</f>
        <v>-149749272.21929643</v>
      </c>
      <c r="F77" s="247">
        <f t="shared" si="7"/>
        <v>-150236809.90571266</v>
      </c>
      <c r="G77" s="247">
        <f t="shared" si="7"/>
        <v>-151059609.90278551</v>
      </c>
      <c r="H77" s="247">
        <f t="shared" si="7"/>
        <v>-151845344.36801335</v>
      </c>
      <c r="I77" s="247">
        <f t="shared" si="7"/>
        <v>-152668329.98804629</v>
      </c>
      <c r="J77" s="247">
        <f t="shared" si="7"/>
        <v>-153397177.92073727</v>
      </c>
      <c r="K77" s="247">
        <f t="shared" si="7"/>
        <v>-154104501.41260976</v>
      </c>
      <c r="L77" s="247">
        <f t="shared" si="7"/>
        <v>-154859702.8389549</v>
      </c>
      <c r="M77" s="247">
        <f t="shared" si="7"/>
        <v>-155550505.40042022</v>
      </c>
      <c r="N77" s="247">
        <f t="shared" si="7"/>
        <v>-156261896.57993808</v>
      </c>
      <c r="O77" s="247">
        <f t="shared" si="7"/>
        <v>-157105605.55109707</v>
      </c>
      <c r="P77" s="247">
        <f t="shared" si="7"/>
        <v>-157763368.31372365</v>
      </c>
      <c r="Q77" s="247">
        <f>SUM(Q66:Q76)</f>
        <v>-153345015.00180417</v>
      </c>
      <c r="R77" s="28"/>
    </row>
    <row r="78" spans="1:18" ht="15" customHeight="1" thickTop="1" x14ac:dyDescent="0.2">
      <c r="A78" s="68"/>
      <c r="B78" s="173"/>
      <c r="C78" s="239"/>
      <c r="D78" s="244"/>
      <c r="E78" s="244"/>
      <c r="F78" s="244"/>
      <c r="G78" s="244"/>
      <c r="H78" s="244"/>
      <c r="I78" s="244"/>
      <c r="J78" s="244"/>
      <c r="K78" s="244"/>
      <c r="L78" s="244"/>
      <c r="M78" s="244"/>
      <c r="N78" s="244"/>
      <c r="O78" s="244"/>
      <c r="P78" s="244"/>
      <c r="Q78" s="168"/>
      <c r="R78" s="28"/>
    </row>
    <row r="79" spans="1:18" ht="15" customHeight="1" x14ac:dyDescent="0.2">
      <c r="A79" s="68"/>
      <c r="B79" s="173" t="s">
        <v>195</v>
      </c>
      <c r="C79" s="239"/>
      <c r="D79" s="244">
        <v>2456242.7463549995</v>
      </c>
      <c r="E79" s="244">
        <v>2456117.9935499993</v>
      </c>
      <c r="F79" s="244">
        <v>2455982.7107239994</v>
      </c>
      <c r="G79" s="244">
        <v>2455838.258855999</v>
      </c>
      <c r="H79" s="244">
        <v>2455655.8087569992</v>
      </c>
      <c r="I79" s="244">
        <v>2455481.7742429995</v>
      </c>
      <c r="J79" s="244">
        <v>2455332.2308649994</v>
      </c>
      <c r="K79" s="244">
        <v>2455160.4221299994</v>
      </c>
      <c r="L79" s="244">
        <v>2454971.2601019992</v>
      </c>
      <c r="M79" s="244">
        <v>2454758.1377089997</v>
      </c>
      <c r="N79" s="244">
        <v>2454552.6709579993</v>
      </c>
      <c r="O79" s="244">
        <v>2454344.5179219996</v>
      </c>
      <c r="P79" s="244">
        <v>2454136.6740519991</v>
      </c>
      <c r="Q79" s="244">
        <f t="shared" ref="Q79:Q81" si="8">((D79/2)+SUM(E79:O79)+(P79/2))/12</f>
        <v>2455282.1246682908</v>
      </c>
      <c r="R79" s="159"/>
    </row>
    <row r="80" spans="1:18" ht="15" customHeight="1" x14ac:dyDescent="0.2">
      <c r="A80" s="68"/>
      <c r="B80" s="173" t="s">
        <v>106</v>
      </c>
      <c r="C80" s="239"/>
      <c r="D80" s="244">
        <v>-926663.27999999991</v>
      </c>
      <c r="E80" s="244">
        <v>-958065.27999999991</v>
      </c>
      <c r="F80" s="244">
        <v>-972158.27999999991</v>
      </c>
      <c r="G80" s="244">
        <v>-982286.27999999991</v>
      </c>
      <c r="H80" s="244">
        <v>-994615.27999999991</v>
      </c>
      <c r="I80" s="244">
        <v>-1010081.2799999999</v>
      </c>
      <c r="J80" s="244">
        <v>-1022323.2799999999</v>
      </c>
      <c r="K80" s="244">
        <v>-1026535.2799999999</v>
      </c>
      <c r="L80" s="244">
        <v>-1045749.2799999999</v>
      </c>
      <c r="M80" s="244">
        <v>-1087855.2799999998</v>
      </c>
      <c r="N80" s="244">
        <v>-1108371.2799999998</v>
      </c>
      <c r="O80" s="244">
        <v>-1132864.2799999998</v>
      </c>
      <c r="P80" s="244">
        <v>-1157048.2799999998</v>
      </c>
      <c r="Q80" s="244">
        <f t="shared" si="8"/>
        <v>-1031896.7383333333</v>
      </c>
      <c r="R80" s="159"/>
    </row>
    <row r="81" spans="1:18" ht="15" customHeight="1" x14ac:dyDescent="0.2">
      <c r="A81" s="68"/>
      <c r="B81" s="173" t="s">
        <v>119</v>
      </c>
      <c r="C81" s="239"/>
      <c r="D81" s="244">
        <v>1565413.8155920003</v>
      </c>
      <c r="E81" s="244">
        <v>1807833.7395440005</v>
      </c>
      <c r="F81" s="244">
        <v>2198359.0807760009</v>
      </c>
      <c r="G81" s="244">
        <v>2561431.0237920005</v>
      </c>
      <c r="H81" s="244">
        <v>3013751.5094000008</v>
      </c>
      <c r="I81" s="244">
        <v>3165828.566544001</v>
      </c>
      <c r="J81" s="244">
        <v>3239909.8709200011</v>
      </c>
      <c r="K81" s="244">
        <v>3269996.5395600009</v>
      </c>
      <c r="L81" s="244">
        <v>3294846.5344480006</v>
      </c>
      <c r="M81" s="244">
        <v>3304670.6290880009</v>
      </c>
      <c r="N81" s="244">
        <v>3322912.4552800008</v>
      </c>
      <c r="O81" s="244">
        <v>3315799.8931360012</v>
      </c>
      <c r="P81" s="244">
        <v>3293802.4125120007</v>
      </c>
      <c r="Q81" s="244">
        <f t="shared" si="8"/>
        <v>2910412.3297116677</v>
      </c>
      <c r="R81" s="159"/>
    </row>
    <row r="82" spans="1:18" ht="15" customHeight="1" x14ac:dyDescent="0.2">
      <c r="A82" s="68"/>
      <c r="B82" s="173"/>
      <c r="C82" s="239"/>
      <c r="D82" s="243"/>
      <c r="E82" s="243"/>
      <c r="F82" s="243"/>
      <c r="G82" s="243"/>
      <c r="H82" s="243"/>
      <c r="I82" s="243"/>
      <c r="J82" s="243"/>
      <c r="K82" s="243"/>
      <c r="L82" s="243"/>
      <c r="M82" s="243"/>
      <c r="N82" s="243"/>
      <c r="O82" s="243"/>
      <c r="P82" s="243"/>
      <c r="Q82" s="244"/>
      <c r="R82" s="159"/>
    </row>
    <row r="83" spans="1:18" ht="15" customHeight="1" x14ac:dyDescent="0.2">
      <c r="A83" s="68"/>
      <c r="B83" s="173"/>
      <c r="C83" s="239"/>
      <c r="D83" s="243"/>
      <c r="E83" s="243"/>
      <c r="F83" s="243"/>
      <c r="G83" s="250"/>
      <c r="H83" s="251"/>
      <c r="I83" s="252"/>
      <c r="J83" s="252"/>
      <c r="K83" s="252"/>
      <c r="L83" s="168"/>
      <c r="M83" s="168"/>
      <c r="N83" s="168"/>
      <c r="O83" s="168"/>
      <c r="P83" s="168"/>
      <c r="Q83" s="168"/>
      <c r="R83" s="159"/>
    </row>
    <row r="84" spans="1:18" ht="15" customHeight="1" x14ac:dyDescent="0.2">
      <c r="A84" s="68"/>
      <c r="B84" s="173" t="s">
        <v>121</v>
      </c>
      <c r="C84" s="239"/>
      <c r="D84" s="244">
        <v>-40065866.292268082</v>
      </c>
      <c r="E84" s="244">
        <v>-40118163.307407938</v>
      </c>
      <c r="F84" s="244">
        <v>-40205919.661765471</v>
      </c>
      <c r="G84" s="244">
        <v>-40226607.75580281</v>
      </c>
      <c r="H84" s="244">
        <v>-40303489.048795491</v>
      </c>
      <c r="I84" s="244">
        <v>-40373696.455156058</v>
      </c>
      <c r="J84" s="244">
        <v>-40548054.034279853</v>
      </c>
      <c r="K84" s="244">
        <v>-40611979.794084519</v>
      </c>
      <c r="L84" s="244">
        <v>-40650411.722466685</v>
      </c>
      <c r="M84" s="244">
        <v>-40666487.749724679</v>
      </c>
      <c r="N84" s="244">
        <v>-40679409.136709027</v>
      </c>
      <c r="O84" s="244">
        <v>-40695762.233527333</v>
      </c>
      <c r="P84" s="244">
        <v>-40720699.532133207</v>
      </c>
      <c r="Q84" s="244">
        <f>((D84/2)+SUM(E84:O84)+(P84/2))/12</f>
        <v>-40456105.317660041</v>
      </c>
      <c r="R84" s="159"/>
    </row>
    <row r="85" spans="1:18" ht="15" customHeight="1" x14ac:dyDescent="0.2">
      <c r="A85" s="68"/>
      <c r="B85" s="173"/>
      <c r="C85" s="239"/>
      <c r="D85" s="244"/>
      <c r="E85" s="244"/>
      <c r="F85" s="244"/>
      <c r="G85" s="253"/>
      <c r="H85" s="235"/>
      <c r="I85" s="168"/>
      <c r="J85" s="168"/>
      <c r="K85" s="168"/>
      <c r="L85" s="168"/>
      <c r="M85" s="168"/>
      <c r="N85" s="168"/>
      <c r="O85" s="168"/>
      <c r="P85" s="168"/>
      <c r="Q85" s="168"/>
    </row>
    <row r="86" spans="1:18" ht="15" customHeight="1" thickBot="1" x14ac:dyDescent="0.25">
      <c r="A86" s="68"/>
      <c r="B86" s="254" t="s">
        <v>245</v>
      </c>
      <c r="C86" s="239"/>
      <c r="D86" s="247">
        <f>D63+D77+D79+D80+D81+D84</f>
        <v>187337500.28047526</v>
      </c>
      <c r="E86" s="247">
        <f t="shared" ref="E86:O86" si="9">E63+E77+E79+E80+E81+E84</f>
        <v>189084190.72291088</v>
      </c>
      <c r="F86" s="247">
        <f t="shared" si="9"/>
        <v>190039304.91174221</v>
      </c>
      <c r="G86" s="247">
        <f t="shared" si="9"/>
        <v>192146761.04298356</v>
      </c>
      <c r="H86" s="247">
        <f t="shared" si="9"/>
        <v>193069915.29084554</v>
      </c>
      <c r="I86" s="247">
        <f t="shared" si="9"/>
        <v>193395191.28160411</v>
      </c>
      <c r="J86" s="247">
        <f t="shared" si="9"/>
        <v>194961208.88585204</v>
      </c>
      <c r="K86" s="247">
        <f>K63+K77+K79+K80+K81+K84</f>
        <v>195247504.69051954</v>
      </c>
      <c r="L86" s="247">
        <f>L63+L77+L79+L80+L81+L84</f>
        <v>197652518.01412973</v>
      </c>
      <c r="M86" s="247">
        <f t="shared" si="9"/>
        <v>198540666.36941057</v>
      </c>
      <c r="N86" s="247">
        <f t="shared" si="9"/>
        <v>198838707.76641819</v>
      </c>
      <c r="O86" s="247">
        <f t="shared" si="9"/>
        <v>199264182.32469991</v>
      </c>
      <c r="P86" s="247">
        <f>P63+P77+P79+P80+P81+P84</f>
        <v>200179611.69466364</v>
      </c>
      <c r="Q86" s="247">
        <f>Q63+Q77+Q79+Q80+Q81+Q84</f>
        <v>194666558.94072384</v>
      </c>
    </row>
    <row r="87" spans="1:18" ht="15" customHeight="1" thickTop="1" x14ac:dyDescent="0.2">
      <c r="A87" s="68"/>
      <c r="B87" s="168"/>
      <c r="C87" s="235"/>
      <c r="D87" s="235"/>
      <c r="E87" s="235"/>
      <c r="F87" s="235"/>
      <c r="G87" s="235"/>
      <c r="H87" s="235"/>
      <c r="I87" s="168"/>
      <c r="J87" s="168"/>
      <c r="K87" s="168"/>
      <c r="L87" s="168"/>
      <c r="M87" s="168"/>
      <c r="N87" s="168"/>
      <c r="O87" s="168"/>
      <c r="P87" s="168"/>
      <c r="Q87" s="168"/>
    </row>
    <row r="88" spans="1:18" s="20" customFormat="1" ht="15" customHeight="1" x14ac:dyDescent="0.2">
      <c r="A88" s="299"/>
      <c r="B88" s="325" t="s">
        <v>557</v>
      </c>
      <c r="C88" s="235"/>
      <c r="D88" s="235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71">
        <f>SUM(Q56,Q70)/SUM(Q13,Q27)</f>
        <v>0.14265125464404022</v>
      </c>
    </row>
    <row r="89" spans="1:18" ht="15" customHeight="1" x14ac:dyDescent="0.2">
      <c r="A89" s="68"/>
      <c r="B89" s="256"/>
      <c r="C89" s="235"/>
      <c r="D89" s="235"/>
      <c r="E89" s="235"/>
      <c r="F89" s="235"/>
      <c r="G89" s="235"/>
      <c r="H89" s="235"/>
      <c r="I89" s="168"/>
      <c r="J89" s="168"/>
      <c r="K89" s="168"/>
      <c r="L89" s="168"/>
      <c r="M89" s="168"/>
      <c r="N89" s="168"/>
      <c r="O89" s="168"/>
      <c r="P89" s="168"/>
      <c r="Q89" s="323"/>
    </row>
    <row r="90" spans="1:18" x14ac:dyDescent="0.2">
      <c r="B90" s="1"/>
      <c r="Q90" s="66"/>
    </row>
    <row r="91" spans="1:18" x14ac:dyDescent="0.2">
      <c r="A91" s="1"/>
      <c r="C91" s="8"/>
      <c r="N91" s="20"/>
      <c r="O91" s="344"/>
      <c r="P91" s="20"/>
      <c r="Q91" s="359"/>
    </row>
    <row r="92" spans="1:18" x14ac:dyDescent="0.2">
      <c r="B92" s="1"/>
      <c r="C92" s="8"/>
      <c r="N92" s="20"/>
      <c r="O92" s="344"/>
      <c r="P92" s="20"/>
      <c r="Q92" s="271"/>
    </row>
    <row r="93" spans="1:18" x14ac:dyDescent="0.2">
      <c r="C93" s="8"/>
      <c r="N93" s="20"/>
      <c r="O93" s="344"/>
      <c r="P93" s="345"/>
      <c r="Q93" s="346"/>
      <c r="R93" s="347"/>
    </row>
    <row r="94" spans="1:18" x14ac:dyDescent="0.2">
      <c r="C94" s="8"/>
      <c r="N94" s="20"/>
      <c r="O94" s="344"/>
      <c r="P94" s="347"/>
      <c r="Q94" s="355"/>
      <c r="R94" s="347"/>
    </row>
    <row r="95" spans="1:18" x14ac:dyDescent="0.2">
      <c r="C95" s="8"/>
      <c r="N95" s="20"/>
      <c r="O95" s="344"/>
      <c r="P95" s="347"/>
      <c r="Q95" s="347"/>
      <c r="R95" s="347"/>
    </row>
    <row r="96" spans="1:18" x14ac:dyDescent="0.2">
      <c r="C96" s="8"/>
      <c r="N96" s="20"/>
      <c r="O96" s="344"/>
      <c r="P96" s="347"/>
      <c r="Q96" s="347"/>
      <c r="R96" s="348"/>
    </row>
    <row r="97" spans="3:17" x14ac:dyDescent="0.2">
      <c r="C97" s="8"/>
      <c r="N97" s="20"/>
      <c r="O97" s="20"/>
      <c r="P97" s="20"/>
      <c r="Q97" s="20"/>
    </row>
  </sheetData>
  <customSheetViews>
    <customSheetView guid="{A7BD13BF-7E57-44D7-9B02-43E2FA430390}" scale="90" showPageBreaks="1" fitToPage="1" printArea="1">
      <pane xSplit="3" ySplit="8" topLeftCell="F24" activePane="bottomRight" state="frozen"/>
      <selection pane="bottomRight" activeCell="F56" sqref="F56"/>
      <rowBreaks count="1" manualBreakCount="1">
        <brk id="49" max="16" man="1"/>
      </rowBreaks>
      <pageMargins left="0.5" right="0.5" top="0.5" bottom="0.5" header="0.25" footer="0.25"/>
      <printOptions horizontalCentered="1"/>
      <pageSetup scale="48" fitToHeight="0" orientation="landscape" r:id="rId1"/>
      <headerFooter alignWithMargins="0"/>
    </customSheetView>
    <customSheetView guid="{C29552AC-6B79-447F-B962-713ED43BDF1A}" scale="90" showPageBreaks="1" fitToPage="1" printArea="1">
      <pane xSplit="3" ySplit="8" topLeftCell="F76" activePane="bottomRight" state="frozen"/>
      <selection pane="bottomRight" activeCell="R88" sqref="R88"/>
      <rowBreaks count="1" manualBreakCount="1">
        <brk id="49" max="16" man="1"/>
      </rowBreaks>
      <pageMargins left="0.5" right="0.5" top="0.5" bottom="0.5" header="0.25" footer="0.25"/>
      <printOptions horizontalCentered="1"/>
      <pageSetup scale="48" fitToHeight="0" orientation="landscape" r:id="rId2"/>
      <headerFooter alignWithMargins="0"/>
    </customSheetView>
    <customSheetView guid="{6ED201AA-AB2E-4FE7-B06B-B07932512C4D}" scale="90" showPageBreaks="1" fitToPage="1" printArea="1">
      <pane xSplit="3" ySplit="8" topLeftCell="F66" activePane="bottomRight" state="frozen"/>
      <selection pane="bottomRight" activeCell="Q84" sqref="Q84"/>
      <rowBreaks count="1" manualBreakCount="1">
        <brk id="49" max="16" man="1"/>
      </rowBreaks>
      <pageMargins left="0.5" right="0.5" top="0.5" bottom="0.5" header="0.25" footer="0.25"/>
      <printOptions horizontalCentered="1"/>
      <pageSetup scale="48" fitToHeight="0" orientation="landscape" r:id="rId3"/>
      <headerFooter alignWithMargins="0"/>
    </customSheetView>
    <customSheetView guid="{D711E10B-9441-4991-A2CB-ED400E35790D}" scale="90" fitToPage="1">
      <pane xSplit="3" ySplit="8" topLeftCell="F57" activePane="bottomRight" state="frozen"/>
      <selection pane="bottomRight" activeCell="S75" sqref="S75"/>
      <rowBreaks count="1" manualBreakCount="1">
        <brk id="49" max="16" man="1"/>
      </rowBreaks>
      <pageMargins left="0.5" right="0.5" top="0.5" bottom="0.5" header="0.25" footer="0.25"/>
      <printOptions horizontalCentered="1"/>
      <pageSetup scale="48" fitToHeight="0" orientation="landscape" r:id="rId4"/>
      <headerFooter alignWithMargins="0"/>
    </customSheetView>
  </customSheetViews>
  <mergeCells count="2">
    <mergeCell ref="A7:C7"/>
    <mergeCell ref="A50:C50"/>
  </mergeCells>
  <phoneticPr fontId="5" type="noConversion"/>
  <printOptions horizontalCentered="1"/>
  <pageMargins left="0.5" right="0.5" top="0.5" bottom="0.5" header="0.25" footer="0.25"/>
  <pageSetup scale="48" fitToHeight="0" orientation="landscape" r:id="rId5"/>
  <headerFooter alignWithMargins="0"/>
  <rowBreaks count="1" manualBreakCount="1">
    <brk id="49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5" tint="0.59999389629810485"/>
    <pageSetUpPr fitToPage="1"/>
  </sheetPr>
  <dimension ref="A1:K44"/>
  <sheetViews>
    <sheetView zoomScaleNormal="100" workbookViewId="0">
      <selection activeCell="G29" sqref="G29"/>
    </sheetView>
  </sheetViews>
  <sheetFormatPr defaultColWidth="9.140625" defaultRowHeight="15" x14ac:dyDescent="0.2"/>
  <cols>
    <col min="1" max="1" width="4.7109375" style="1" customWidth="1"/>
    <col min="2" max="2" width="35.85546875" style="1" customWidth="1"/>
    <col min="3" max="5" width="13.7109375" style="8" customWidth="1"/>
    <col min="6" max="6" width="9.140625" style="8" customWidth="1"/>
    <col min="7" max="11" width="9.28515625" style="8" bestFit="1" customWidth="1"/>
    <col min="12" max="16384" width="9.140625" style="8"/>
  </cols>
  <sheetData>
    <row r="1" spans="1:11" s="1" customFormat="1" x14ac:dyDescent="0.2">
      <c r="A1" s="1" t="str">
        <f>'KTW-2 - Rev Req'!A1</f>
        <v>NW Natural</v>
      </c>
      <c r="E1" s="59" t="s">
        <v>589</v>
      </c>
    </row>
    <row r="2" spans="1:11" s="1" customFormat="1" x14ac:dyDescent="0.2">
      <c r="A2" s="1" t="str">
        <f>'KTW-4,5,8 p1 - Adjust Issues'!A3</f>
        <v>Test Year Based on Twelve Months Ended September 30, 2020</v>
      </c>
      <c r="E2" s="59" t="s">
        <v>598</v>
      </c>
    </row>
    <row r="3" spans="1:11" s="1" customFormat="1" x14ac:dyDescent="0.2">
      <c r="A3" s="1" t="s">
        <v>236</v>
      </c>
      <c r="D3" s="66"/>
    </row>
    <row r="4" spans="1:11" s="1" customFormat="1" x14ac:dyDescent="0.2"/>
    <row r="5" spans="1:11" s="1" customFormat="1" x14ac:dyDescent="0.2"/>
    <row r="6" spans="1:11" s="1" customFormat="1" x14ac:dyDescent="0.2">
      <c r="A6" s="1" t="s">
        <v>19</v>
      </c>
      <c r="C6" s="5" t="s">
        <v>20</v>
      </c>
      <c r="D6" s="5"/>
      <c r="E6" s="5" t="s">
        <v>21</v>
      </c>
    </row>
    <row r="7" spans="1:11" s="1" customFormat="1" x14ac:dyDescent="0.2">
      <c r="A7" s="67" t="s">
        <v>38</v>
      </c>
      <c r="C7" s="430" t="s">
        <v>39</v>
      </c>
      <c r="D7" s="430" t="s">
        <v>40</v>
      </c>
      <c r="E7" s="430" t="s">
        <v>41</v>
      </c>
    </row>
    <row r="8" spans="1:11" s="1" customFormat="1" x14ac:dyDescent="0.2">
      <c r="C8" s="5" t="s">
        <v>55</v>
      </c>
      <c r="D8" s="5" t="s">
        <v>56</v>
      </c>
      <c r="E8" s="5" t="s">
        <v>57</v>
      </c>
    </row>
    <row r="9" spans="1:11" x14ac:dyDescent="0.2">
      <c r="B9" s="67" t="s">
        <v>64</v>
      </c>
      <c r="C9" s="68"/>
      <c r="D9" s="68"/>
      <c r="E9" s="68"/>
    </row>
    <row r="10" spans="1:11" x14ac:dyDescent="0.2">
      <c r="C10" s="22"/>
    </row>
    <row r="11" spans="1:11" x14ac:dyDescent="0.2">
      <c r="A11" s="5">
        <v>1</v>
      </c>
      <c r="B11" s="1" t="s">
        <v>79</v>
      </c>
      <c r="C11" s="9">
        <f>1-C13-C12</f>
        <v>0.5</v>
      </c>
      <c r="D11" s="12">
        <v>4.5969999999999997E-2</v>
      </c>
      <c r="E11" s="12">
        <f>ROUND((+C11*D11),5)</f>
        <v>2.299E-2</v>
      </c>
      <c r="G11" s="12"/>
      <c r="H11" s="69"/>
      <c r="I11" s="9"/>
      <c r="J11" s="69"/>
      <c r="K11" s="69"/>
    </row>
    <row r="12" spans="1:11" x14ac:dyDescent="0.2">
      <c r="A12" s="5">
        <f>A11+1</f>
        <v>2</v>
      </c>
      <c r="B12" s="1" t="s">
        <v>84</v>
      </c>
      <c r="C12" s="9">
        <v>0.01</v>
      </c>
      <c r="D12" s="437">
        <v>7.5599999999999999E-3</v>
      </c>
      <c r="E12" s="12">
        <f>ROUND((+C12*D12),5)</f>
        <v>8.0000000000000007E-5</v>
      </c>
      <c r="G12" s="12"/>
      <c r="I12" s="9"/>
    </row>
    <row r="13" spans="1:11" x14ac:dyDescent="0.2">
      <c r="A13" s="5">
        <f>A12+1</f>
        <v>3</v>
      </c>
      <c r="B13" s="1" t="s">
        <v>93</v>
      </c>
      <c r="C13" s="9">
        <v>0.49</v>
      </c>
      <c r="D13" s="12">
        <v>9.4E-2</v>
      </c>
      <c r="E13" s="70">
        <f>ROUND((+C13*D13),5)</f>
        <v>4.6059999999999997E-2</v>
      </c>
      <c r="G13" s="12"/>
      <c r="I13" s="9"/>
    </row>
    <row r="14" spans="1:11" x14ac:dyDescent="0.2">
      <c r="A14" s="5"/>
      <c r="C14" s="9"/>
      <c r="D14" s="9"/>
      <c r="E14" s="12"/>
    </row>
    <row r="15" spans="1:11" ht="15.75" thickBot="1" x14ac:dyDescent="0.25">
      <c r="A15" s="5">
        <f>A13+1</f>
        <v>4</v>
      </c>
      <c r="B15" s="1" t="s">
        <v>99</v>
      </c>
      <c r="C15" s="71">
        <f>SUM(C11:C14)</f>
        <v>1</v>
      </c>
      <c r="D15" s="9"/>
      <c r="E15" s="72">
        <f>SUM(E11:E14)</f>
        <v>6.9129999999999997E-2</v>
      </c>
    </row>
    <row r="16" spans="1:11" ht="15.75" thickTop="1" x14ac:dyDescent="0.2">
      <c r="A16" s="5"/>
      <c r="C16" s="63"/>
      <c r="D16" s="22"/>
      <c r="E16" s="49"/>
    </row>
    <row r="17" spans="1:5" x14ac:dyDescent="0.2">
      <c r="A17" s="5"/>
      <c r="B17" s="67" t="s">
        <v>107</v>
      </c>
      <c r="D17" s="22"/>
      <c r="E17" s="22"/>
    </row>
    <row r="18" spans="1:5" x14ac:dyDescent="0.2">
      <c r="A18" s="5"/>
      <c r="D18" s="22"/>
      <c r="E18" s="22"/>
    </row>
    <row r="19" spans="1:5" x14ac:dyDescent="0.2">
      <c r="A19" s="5">
        <f>A15+1</f>
        <v>5</v>
      </c>
      <c r="B19" s="1" t="s">
        <v>111</v>
      </c>
      <c r="C19" s="49">
        <f>'KTW-2 - Rev Req'!E12/'KTW-2 - Rev Req'!E$16</f>
        <v>0.96552017351419273</v>
      </c>
      <c r="D19" s="24"/>
      <c r="E19" s="24"/>
    </row>
    <row r="20" spans="1:5" x14ac:dyDescent="0.2">
      <c r="A20" s="5">
        <f>A19+1</f>
        <v>6</v>
      </c>
      <c r="B20" s="1" t="s">
        <v>89</v>
      </c>
      <c r="C20" s="49">
        <f>'KTW-2 - Rev Req'!E13/'KTW-2 - Rev Req'!E$16</f>
        <v>3.1077468672751497E-2</v>
      </c>
      <c r="D20" s="24"/>
      <c r="E20" s="24"/>
    </row>
    <row r="21" spans="1:5" x14ac:dyDescent="0.2">
      <c r="A21" s="5">
        <f>A20+1</f>
        <v>7</v>
      </c>
      <c r="B21" s="1" t="s">
        <v>120</v>
      </c>
      <c r="C21" s="73">
        <f>'KTW-2 - Rev Req'!E14/'KTW-2 - Rev Req'!E$16</f>
        <v>3.402357813055739E-3</v>
      </c>
    </row>
    <row r="22" spans="1:5" x14ac:dyDescent="0.2">
      <c r="A22" s="5"/>
      <c r="C22" s="49"/>
    </row>
    <row r="23" spans="1:5" x14ac:dyDescent="0.2">
      <c r="A23" s="5">
        <f>A21+1</f>
        <v>8</v>
      </c>
      <c r="B23" s="1" t="s">
        <v>102</v>
      </c>
      <c r="C23" s="49">
        <f>C21+C20+C19</f>
        <v>1</v>
      </c>
    </row>
    <row r="24" spans="1:5" x14ac:dyDescent="0.2">
      <c r="A24" s="5"/>
      <c r="C24" s="49"/>
    </row>
    <row r="25" spans="1:5" x14ac:dyDescent="0.2">
      <c r="A25" s="5">
        <f>A23+1</f>
        <v>9</v>
      </c>
      <c r="B25" s="1" t="s">
        <v>125</v>
      </c>
      <c r="C25" s="49">
        <f>C44</f>
        <v>1.0487043305842344E-3</v>
      </c>
    </row>
    <row r="26" spans="1:5" x14ac:dyDescent="0.2">
      <c r="A26" s="5">
        <f>+A25+1</f>
        <v>10</v>
      </c>
      <c r="B26" s="1" t="s">
        <v>130</v>
      </c>
      <c r="C26" s="49">
        <v>3.8519999999999999E-2</v>
      </c>
    </row>
    <row r="27" spans="1:5" x14ac:dyDescent="0.2">
      <c r="A27" s="5">
        <f>A26+1</f>
        <v>11</v>
      </c>
      <c r="B27" s="1" t="s">
        <v>131</v>
      </c>
      <c r="C27" s="73">
        <v>2E-3</v>
      </c>
    </row>
    <row r="28" spans="1:5" x14ac:dyDescent="0.2">
      <c r="A28" s="5">
        <f>A27+1</f>
        <v>12</v>
      </c>
      <c r="B28" s="1" t="s">
        <v>437</v>
      </c>
      <c r="C28" s="334">
        <f>SUM(C25:C27)</f>
        <v>4.1568704330584232E-2</v>
      </c>
    </row>
    <row r="29" spans="1:5" x14ac:dyDescent="0.2">
      <c r="A29" s="5"/>
      <c r="C29" s="49"/>
    </row>
    <row r="30" spans="1:5" x14ac:dyDescent="0.2">
      <c r="A30" s="5">
        <f>+A28+1</f>
        <v>13</v>
      </c>
      <c r="B30" s="1" t="s">
        <v>140</v>
      </c>
      <c r="C30" s="49">
        <f>+C23-C28</f>
        <v>0.95843129566941576</v>
      </c>
    </row>
    <row r="31" spans="1:5" x14ac:dyDescent="0.2">
      <c r="A31" s="5">
        <f>A30+1</f>
        <v>14</v>
      </c>
      <c r="B31" s="1" t="s">
        <v>123</v>
      </c>
      <c r="C31" s="73">
        <f>C43*C30</f>
        <v>0.2012705720905773</v>
      </c>
    </row>
    <row r="32" spans="1:5" x14ac:dyDescent="0.2">
      <c r="A32" s="5"/>
      <c r="C32" s="49"/>
    </row>
    <row r="33" spans="1:3" x14ac:dyDescent="0.2">
      <c r="A33" s="5">
        <f>A31+1</f>
        <v>15</v>
      </c>
      <c r="B33" s="1" t="s">
        <v>144</v>
      </c>
      <c r="C33" s="49">
        <f>C31</f>
        <v>0.2012705720905773</v>
      </c>
    </row>
    <row r="34" spans="1:3" x14ac:dyDescent="0.2">
      <c r="A34" s="5"/>
      <c r="C34" s="49"/>
    </row>
    <row r="35" spans="1:3" x14ac:dyDescent="0.2">
      <c r="A35" s="5">
        <f>A33+1</f>
        <v>16</v>
      </c>
      <c r="B35" s="1" t="s">
        <v>437</v>
      </c>
      <c r="C35" s="73">
        <f>C33+C28</f>
        <v>0.24283927642116154</v>
      </c>
    </row>
    <row r="36" spans="1:3" x14ac:dyDescent="0.2">
      <c r="A36" s="5"/>
      <c r="C36" s="49"/>
    </row>
    <row r="37" spans="1:3" ht="15.75" thickBot="1" x14ac:dyDescent="0.25">
      <c r="A37" s="5">
        <f>A35+1</f>
        <v>17</v>
      </c>
      <c r="B37" s="1" t="s">
        <v>149</v>
      </c>
      <c r="C37" s="74">
        <f>C30-C31</f>
        <v>0.75716072357883846</v>
      </c>
    </row>
    <row r="38" spans="1:3" ht="15.75" thickTop="1" x14ac:dyDescent="0.2">
      <c r="A38" s="5"/>
      <c r="C38" s="49"/>
    </row>
    <row r="39" spans="1:3" ht="15.75" thickBot="1" x14ac:dyDescent="0.25">
      <c r="A39" s="5">
        <f>A37+1</f>
        <v>18</v>
      </c>
      <c r="B39" s="1" t="s">
        <v>153</v>
      </c>
      <c r="C39" s="74">
        <f>ROUND(1/C37,5)</f>
        <v>1.3207199999999999</v>
      </c>
    </row>
    <row r="40" spans="1:3" ht="15.75" thickTop="1" x14ac:dyDescent="0.2">
      <c r="A40" s="5"/>
      <c r="C40" s="49"/>
    </row>
    <row r="41" spans="1:3" x14ac:dyDescent="0.2">
      <c r="A41" s="5">
        <f>A39+1</f>
        <v>19</v>
      </c>
      <c r="B41" s="1" t="s">
        <v>157</v>
      </c>
      <c r="C41" s="49">
        <f>E11+E12</f>
        <v>2.307E-2</v>
      </c>
    </row>
    <row r="42" spans="1:3" x14ac:dyDescent="0.2">
      <c r="A42" s="5"/>
      <c r="C42" s="49"/>
    </row>
    <row r="43" spans="1:3" x14ac:dyDescent="0.2">
      <c r="A43" s="5">
        <f>A41+1</f>
        <v>20</v>
      </c>
      <c r="B43" s="66" t="s">
        <v>160</v>
      </c>
      <c r="C43" s="49">
        <v>0.21</v>
      </c>
    </row>
    <row r="44" spans="1:3" x14ac:dyDescent="0.2">
      <c r="A44" s="5">
        <f>A43+1</f>
        <v>21</v>
      </c>
      <c r="B44" s="66" t="s">
        <v>163</v>
      </c>
      <c r="C44" s="49">
        <f>'KTW-4 p7 - Uncollectible'!C48</f>
        <v>1.0487043305842344E-3</v>
      </c>
    </row>
  </sheetData>
  <customSheetViews>
    <customSheetView guid="{A7BD13BF-7E57-44D7-9B02-43E2FA430390}" showPageBreaks="1" fitToPage="1" printArea="1">
      <selection activeCell="J22" sqref="J22"/>
      <pageMargins left="0.5" right="0.5" top="0.5" bottom="0.5" header="0.25" footer="0.25"/>
      <printOptions horizontalCentered="1"/>
      <pageSetup scale="83" orientation="landscape" r:id="rId1"/>
      <headerFooter alignWithMargins="0"/>
    </customSheetView>
    <customSheetView guid="{C29552AC-6B79-447F-B962-713ED43BDF1A}" showPageBreaks="1" fitToPage="1" printArea="1">
      <selection activeCell="F24" sqref="F24"/>
      <pageMargins left="0.5" right="0.5" top="0.5" bottom="0.5" header="0.25" footer="0.25"/>
      <printOptions horizontalCentered="1"/>
      <pageSetup scale="83" orientation="landscape" r:id="rId2"/>
      <headerFooter alignWithMargins="0"/>
    </customSheetView>
    <customSheetView guid="{6ED201AA-AB2E-4FE7-B06B-B07932512C4D}" showPageBreaks="1" fitToPage="1" printArea="1">
      <selection activeCell="F24" sqref="F24"/>
      <pageMargins left="0.5" right="0.5" top="0.5" bottom="0.5" header="0.25" footer="0.25"/>
      <printOptions horizontalCentered="1"/>
      <pageSetup scale="83" orientation="landscape" r:id="rId3"/>
      <headerFooter alignWithMargins="0"/>
    </customSheetView>
    <customSheetView guid="{D711E10B-9441-4991-A2CB-ED400E35790D}" fitToPage="1" topLeftCell="A15">
      <selection activeCell="C39" sqref="C39"/>
      <pageMargins left="0.5" right="0.5" top="0.5" bottom="0.5" header="0.25" footer="0.25"/>
      <printOptions horizontalCentered="1"/>
      <pageSetup scale="83" orientation="landscape" r:id="rId4"/>
      <headerFooter alignWithMargins="0"/>
    </customSheetView>
  </customSheetViews>
  <phoneticPr fontId="0" type="noConversion"/>
  <printOptions horizontalCentered="1"/>
  <pageMargins left="0.5" right="0.5" top="0.5" bottom="0.5" header="0.25" footer="0.25"/>
  <pageSetup scale="88" orientation="landscape" r:id="rId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theme="4" tint="0.59999389629810485"/>
    <pageSetUpPr fitToPage="1"/>
  </sheetPr>
  <dimension ref="A1:AB54"/>
  <sheetViews>
    <sheetView showGridLines="0" zoomScale="90" zoomScaleNormal="90" workbookViewId="0">
      <pane xSplit="2" ySplit="9" topLeftCell="K21" activePane="bottomRight" state="frozen"/>
      <selection pane="topRight" activeCell="C1" sqref="C1"/>
      <selection pane="bottomLeft" activeCell="A10" sqref="A10"/>
      <selection pane="bottomRight" activeCell="X30" sqref="X29:X30"/>
    </sheetView>
  </sheetViews>
  <sheetFormatPr defaultColWidth="9.140625" defaultRowHeight="15" outlineLevelCol="1" x14ac:dyDescent="0.2"/>
  <cols>
    <col min="1" max="1" width="4.7109375" style="1" customWidth="1"/>
    <col min="2" max="2" width="41.7109375" style="1" customWidth="1"/>
    <col min="3" max="13" width="15.7109375" style="8" customWidth="1"/>
    <col min="14" max="14" width="15.7109375" style="8" hidden="1" customWidth="1" outlineLevel="1"/>
    <col min="15" max="15" width="15.7109375" style="8" customWidth="1" collapsed="1"/>
    <col min="16" max="20" width="15.7109375" style="8" customWidth="1"/>
    <col min="21" max="21" width="16.28515625" style="8" customWidth="1"/>
    <col min="22" max="22" width="15.7109375" style="8" customWidth="1"/>
    <col min="23" max="23" width="15.7109375" style="8" hidden="1" customWidth="1" outlineLevel="1"/>
    <col min="24" max="24" width="15.7109375" style="8" customWidth="1" collapsed="1"/>
    <col min="25" max="26" width="15.7109375" style="8" customWidth="1"/>
    <col min="27" max="27" width="15.28515625" style="8" customWidth="1"/>
    <col min="28" max="28" width="12.28515625" style="8" customWidth="1"/>
    <col min="29" max="16384" width="9.140625" style="8"/>
  </cols>
  <sheetData>
    <row r="1" spans="1:28" s="1" customFormat="1" x14ac:dyDescent="0.2">
      <c r="A1" s="1" t="s">
        <v>0</v>
      </c>
      <c r="C1" s="5"/>
      <c r="D1" s="5"/>
      <c r="E1" s="5"/>
      <c r="F1" s="5"/>
      <c r="O1" s="5" t="s">
        <v>593</v>
      </c>
      <c r="P1" s="5"/>
      <c r="W1" s="5"/>
      <c r="X1" s="5"/>
      <c r="Y1" s="5" t="s">
        <v>594</v>
      </c>
      <c r="AA1" s="5" t="s">
        <v>611</v>
      </c>
    </row>
    <row r="2" spans="1:28" s="1" customFormat="1" x14ac:dyDescent="0.2">
      <c r="A2" s="1" t="str">
        <f>+'KTW-4,5,8 p2 - Adjust Tax'!A2</f>
        <v>Adjustments to Test Period</v>
      </c>
      <c r="O2" s="5" t="s">
        <v>590</v>
      </c>
      <c r="Y2" s="5" t="s">
        <v>590</v>
      </c>
      <c r="AA2" s="5" t="s">
        <v>590</v>
      </c>
    </row>
    <row r="3" spans="1:28" s="1" customFormat="1" ht="15.75" thickBot="1" x14ac:dyDescent="0.25">
      <c r="A3" s="3" t="str">
        <f>+'KTW-3 p1 - Test Year Results'!A3</f>
        <v>Test Year Based on Twelve Months Ended September 30, 2020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8" s="1" customFormat="1" x14ac:dyDescent="0.2">
      <c r="F4" s="5"/>
      <c r="K4" s="5"/>
      <c r="O4" s="76" t="s">
        <v>504</v>
      </c>
      <c r="R4" s="5"/>
      <c r="S4" s="5"/>
      <c r="T4" s="5"/>
      <c r="U4" s="5"/>
      <c r="V4" s="5"/>
      <c r="W4" s="5"/>
      <c r="X4" s="5"/>
      <c r="Y4" s="76" t="s">
        <v>521</v>
      </c>
      <c r="AA4" s="76" t="s">
        <v>522</v>
      </c>
    </row>
    <row r="5" spans="1:28" s="1" customFormat="1" ht="15.75" thickBot="1" x14ac:dyDescent="0.25">
      <c r="C5" s="77" t="s">
        <v>291</v>
      </c>
      <c r="D5" s="77" t="s">
        <v>291</v>
      </c>
      <c r="E5" s="77" t="s">
        <v>291</v>
      </c>
      <c r="F5" s="77" t="s">
        <v>291</v>
      </c>
      <c r="G5" s="77" t="s">
        <v>291</v>
      </c>
      <c r="H5" s="77" t="s">
        <v>291</v>
      </c>
      <c r="I5" s="77" t="s">
        <v>291</v>
      </c>
      <c r="J5" s="77" t="s">
        <v>291</v>
      </c>
      <c r="K5" s="77" t="s">
        <v>291</v>
      </c>
      <c r="L5" s="77" t="s">
        <v>291</v>
      </c>
      <c r="M5" s="77" t="s">
        <v>291</v>
      </c>
      <c r="N5" s="77" t="s">
        <v>291</v>
      </c>
      <c r="O5" s="78" t="s">
        <v>291</v>
      </c>
      <c r="P5" s="77" t="s">
        <v>292</v>
      </c>
      <c r="Q5" s="77" t="s">
        <v>292</v>
      </c>
      <c r="R5" s="77" t="s">
        <v>292</v>
      </c>
      <c r="S5" s="77" t="s">
        <v>292</v>
      </c>
      <c r="T5" s="77" t="s">
        <v>292</v>
      </c>
      <c r="U5" s="77" t="s">
        <v>292</v>
      </c>
      <c r="V5" s="77" t="s">
        <v>292</v>
      </c>
      <c r="W5" s="77" t="s">
        <v>292</v>
      </c>
      <c r="X5" s="77" t="s">
        <v>292</v>
      </c>
      <c r="Y5" s="78" t="s">
        <v>292</v>
      </c>
      <c r="AA5" s="78" t="s">
        <v>292</v>
      </c>
    </row>
    <row r="6" spans="1:28" s="1" customFormat="1" x14ac:dyDescent="0.2">
      <c r="C6" s="5" t="s">
        <v>14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9"/>
      <c r="P6" s="5"/>
      <c r="Q6" s="5"/>
      <c r="R6" s="5"/>
      <c r="S6" s="5"/>
      <c r="T6" s="5"/>
      <c r="U6" s="5"/>
      <c r="V6" s="5"/>
      <c r="W6" s="5"/>
      <c r="X6" s="5"/>
      <c r="Y6" s="76"/>
      <c r="Z6" s="76"/>
      <c r="AA6" s="76"/>
      <c r="AB6" s="76"/>
    </row>
    <row r="7" spans="1:28" s="1" customFormat="1" x14ac:dyDescent="0.2">
      <c r="C7" s="5" t="s">
        <v>22</v>
      </c>
      <c r="D7" s="5" t="s">
        <v>265</v>
      </c>
      <c r="E7" s="5"/>
      <c r="F7" s="5" t="s">
        <v>240</v>
      </c>
      <c r="G7" s="5" t="s">
        <v>290</v>
      </c>
      <c r="H7" s="5" t="s">
        <v>24</v>
      </c>
      <c r="I7" s="5" t="s">
        <v>25</v>
      </c>
      <c r="J7" s="5"/>
      <c r="K7" s="5"/>
      <c r="L7" s="5"/>
      <c r="M7" s="5"/>
      <c r="N7" s="5"/>
      <c r="O7" s="79" t="s">
        <v>62</v>
      </c>
      <c r="P7" s="5"/>
      <c r="Q7" s="5" t="s">
        <v>23</v>
      </c>
      <c r="R7" s="5" t="s">
        <v>489</v>
      </c>
      <c r="S7" s="5" t="s">
        <v>526</v>
      </c>
      <c r="T7" s="5" t="s">
        <v>472</v>
      </c>
      <c r="U7" s="408" t="s">
        <v>630</v>
      </c>
      <c r="V7" s="408" t="s">
        <v>630</v>
      </c>
      <c r="W7" s="5"/>
      <c r="X7" s="5"/>
      <c r="Y7" s="79" t="s">
        <v>62</v>
      </c>
      <c r="Z7" s="79"/>
      <c r="AA7" s="79" t="s">
        <v>527</v>
      </c>
      <c r="AB7" s="79"/>
    </row>
    <row r="8" spans="1:28" s="1" customFormat="1" x14ac:dyDescent="0.2">
      <c r="A8" s="5" t="s">
        <v>15</v>
      </c>
      <c r="C8" s="5" t="s">
        <v>42</v>
      </c>
      <c r="D8" s="5" t="s">
        <v>61</v>
      </c>
      <c r="E8" s="5" t="s">
        <v>43</v>
      </c>
      <c r="F8" s="5" t="s">
        <v>256</v>
      </c>
      <c r="G8" s="5" t="s">
        <v>44</v>
      </c>
      <c r="H8" s="5" t="s">
        <v>45</v>
      </c>
      <c r="I8" s="5" t="s">
        <v>295</v>
      </c>
      <c r="J8" s="5" t="s">
        <v>46</v>
      </c>
      <c r="K8" s="5" t="s">
        <v>247</v>
      </c>
      <c r="L8" s="5" t="s">
        <v>202</v>
      </c>
      <c r="M8" s="5" t="s">
        <v>517</v>
      </c>
      <c r="N8" s="315" t="s">
        <v>625</v>
      </c>
      <c r="O8" s="79" t="s">
        <v>291</v>
      </c>
      <c r="P8" s="5" t="s">
        <v>23</v>
      </c>
      <c r="Q8" s="5" t="s">
        <v>226</v>
      </c>
      <c r="R8" s="5" t="s">
        <v>490</v>
      </c>
      <c r="S8" s="5" t="s">
        <v>45</v>
      </c>
      <c r="T8" s="5" t="s">
        <v>173</v>
      </c>
      <c r="U8" s="408" t="s">
        <v>631</v>
      </c>
      <c r="V8" s="408" t="s">
        <v>173</v>
      </c>
      <c r="W8" s="315" t="s">
        <v>625</v>
      </c>
      <c r="X8" s="5" t="s">
        <v>516</v>
      </c>
      <c r="Y8" s="79" t="s">
        <v>292</v>
      </c>
      <c r="Z8" s="79" t="s">
        <v>504</v>
      </c>
      <c r="AA8" s="79" t="s">
        <v>528</v>
      </c>
      <c r="AB8" s="79" t="s">
        <v>505</v>
      </c>
    </row>
    <row r="9" spans="1:28" s="1" customFormat="1" x14ac:dyDescent="0.2">
      <c r="A9" s="7" t="s">
        <v>31</v>
      </c>
      <c r="B9" s="67"/>
      <c r="C9" s="7" t="s">
        <v>60</v>
      </c>
      <c r="D9" s="7" t="s">
        <v>26</v>
      </c>
      <c r="E9" s="7" t="s">
        <v>26</v>
      </c>
      <c r="F9" s="7" t="s">
        <v>26</v>
      </c>
      <c r="G9" s="7" t="s">
        <v>26</v>
      </c>
      <c r="H9" s="7" t="s">
        <v>26</v>
      </c>
      <c r="I9" s="7" t="s">
        <v>26</v>
      </c>
      <c r="J9" s="7" t="s">
        <v>26</v>
      </c>
      <c r="K9" s="7" t="s">
        <v>26</v>
      </c>
      <c r="L9" s="7" t="s">
        <v>26</v>
      </c>
      <c r="M9" s="353" t="s">
        <v>26</v>
      </c>
      <c r="N9" s="354" t="s">
        <v>626</v>
      </c>
      <c r="O9" s="80" t="s">
        <v>32</v>
      </c>
      <c r="P9" s="7" t="s">
        <v>26</v>
      </c>
      <c r="Q9" s="7" t="s">
        <v>26</v>
      </c>
      <c r="R9" s="7" t="s">
        <v>26</v>
      </c>
      <c r="S9" s="7" t="s">
        <v>26</v>
      </c>
      <c r="T9" s="7" t="s">
        <v>26</v>
      </c>
      <c r="U9" s="409" t="s">
        <v>26</v>
      </c>
      <c r="V9" s="409" t="s">
        <v>26</v>
      </c>
      <c r="W9" s="354" t="s">
        <v>626</v>
      </c>
      <c r="X9" s="316" t="s">
        <v>26</v>
      </c>
      <c r="Y9" s="80" t="s">
        <v>32</v>
      </c>
      <c r="Z9" s="80" t="s">
        <v>32</v>
      </c>
      <c r="AA9" s="80" t="s">
        <v>26</v>
      </c>
      <c r="AB9" s="80" t="s">
        <v>32</v>
      </c>
    </row>
    <row r="10" spans="1:28" s="1" customFormat="1" x14ac:dyDescent="0.2">
      <c r="A10" s="5"/>
      <c r="C10" s="5" t="s">
        <v>55</v>
      </c>
      <c r="D10" s="5" t="s">
        <v>56</v>
      </c>
      <c r="E10" s="5" t="s">
        <v>57</v>
      </c>
      <c r="F10" s="5" t="s">
        <v>58</v>
      </c>
      <c r="G10" s="5" t="s">
        <v>59</v>
      </c>
      <c r="H10" s="5" t="s">
        <v>65</v>
      </c>
      <c r="I10" s="5" t="s">
        <v>66</v>
      </c>
      <c r="J10" s="5" t="s">
        <v>67</v>
      </c>
      <c r="K10" s="5" t="s">
        <v>68</v>
      </c>
      <c r="L10" s="5" t="s">
        <v>69</v>
      </c>
      <c r="M10" s="5" t="s">
        <v>70</v>
      </c>
      <c r="N10" s="5"/>
      <c r="O10" s="79" t="s">
        <v>242</v>
      </c>
      <c r="P10" s="5" t="s">
        <v>243</v>
      </c>
      <c r="Q10" s="5" t="s">
        <v>71</v>
      </c>
      <c r="R10" s="5" t="s">
        <v>72</v>
      </c>
      <c r="S10" s="5" t="s">
        <v>263</v>
      </c>
      <c r="T10" s="5" t="s">
        <v>264</v>
      </c>
      <c r="U10" s="5" t="s">
        <v>293</v>
      </c>
      <c r="V10" s="5" t="s">
        <v>294</v>
      </c>
      <c r="W10" s="5"/>
      <c r="X10" s="5" t="s">
        <v>475</v>
      </c>
      <c r="Y10" s="79" t="s">
        <v>524</v>
      </c>
      <c r="Z10" s="79" t="s">
        <v>525</v>
      </c>
      <c r="AA10" s="79" t="s">
        <v>632</v>
      </c>
      <c r="AB10" s="79" t="s">
        <v>633</v>
      </c>
    </row>
    <row r="11" spans="1:28" x14ac:dyDescent="0.2">
      <c r="A11" s="5"/>
      <c r="O11" s="81"/>
      <c r="Y11" s="81"/>
      <c r="Z11" s="81"/>
      <c r="AA11" s="81"/>
      <c r="AB11" s="81"/>
    </row>
    <row r="12" spans="1:28" x14ac:dyDescent="0.2">
      <c r="A12" s="5"/>
      <c r="B12" s="1" t="s">
        <v>74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82"/>
      <c r="P12" s="11"/>
      <c r="Q12" s="11"/>
      <c r="R12" s="11"/>
      <c r="S12" s="11"/>
      <c r="T12" s="11"/>
      <c r="U12" s="11"/>
      <c r="V12" s="320"/>
      <c r="W12" s="11"/>
      <c r="X12" s="11"/>
      <c r="Y12" s="82"/>
      <c r="Z12" s="82"/>
      <c r="AA12" s="82"/>
      <c r="AB12" s="82"/>
    </row>
    <row r="13" spans="1:28" x14ac:dyDescent="0.2">
      <c r="A13" s="5">
        <v>1</v>
      </c>
      <c r="B13" s="1" t="s">
        <v>85</v>
      </c>
      <c r="C13" s="27">
        <f>+'KTW-4 p3 - Revenue &amp; Gas Cost'!K15+'KTW-4 p3 - Revenue &amp; Gas Cost'!K17</f>
        <v>4211997.8242638968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83">
        <f>SUM(C13:N13)</f>
        <v>4211997.8242638968</v>
      </c>
      <c r="P13" s="27"/>
      <c r="Q13" s="27"/>
      <c r="R13" s="27"/>
      <c r="S13" s="27"/>
      <c r="T13" s="27"/>
      <c r="U13" s="27"/>
      <c r="V13" s="321"/>
      <c r="W13" s="27"/>
      <c r="X13" s="27"/>
      <c r="Y13" s="83">
        <f>SUM(P13:X13)</f>
        <v>0</v>
      </c>
      <c r="Z13" s="83">
        <f>+Y13+O13</f>
        <v>4211997.8242638968</v>
      </c>
      <c r="AA13" s="83">
        <v>0</v>
      </c>
      <c r="AB13" s="83">
        <f>AA13</f>
        <v>0</v>
      </c>
    </row>
    <row r="14" spans="1:28" x14ac:dyDescent="0.2">
      <c r="A14" s="5">
        <v>2</v>
      </c>
      <c r="B14" s="3" t="s">
        <v>89</v>
      </c>
      <c r="C14" s="27">
        <f>+'KTW-4 p3 - Revenue &amp; Gas Cost'!K25</f>
        <v>149867.33880180493</v>
      </c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83">
        <f>SUM(C14:N14)</f>
        <v>149867.33880180493</v>
      </c>
      <c r="P14" s="27"/>
      <c r="Q14" s="27"/>
      <c r="R14" s="27"/>
      <c r="S14" s="27"/>
      <c r="T14" s="27"/>
      <c r="U14" s="27"/>
      <c r="V14" s="321"/>
      <c r="W14" s="27"/>
      <c r="X14" s="27"/>
      <c r="Y14" s="83">
        <f>SUM(P14:X14)</f>
        <v>0</v>
      </c>
      <c r="Z14" s="83">
        <f>+Y14+O14</f>
        <v>149867.33880180493</v>
      </c>
      <c r="AA14" s="83">
        <v>0</v>
      </c>
      <c r="AB14" s="83">
        <f>AA14</f>
        <v>0</v>
      </c>
    </row>
    <row r="15" spans="1:28" x14ac:dyDescent="0.2">
      <c r="A15" s="5">
        <v>3</v>
      </c>
      <c r="B15" s="3" t="s">
        <v>87</v>
      </c>
      <c r="C15" s="47"/>
      <c r="D15" s="47">
        <f>+'KTW-4 p4 - Misc Rev Adjs'!E37</f>
        <v>2363456.8723413325</v>
      </c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84">
        <f>SUM(C15:N15)</f>
        <v>2363456.8723413325</v>
      </c>
      <c r="P15" s="47"/>
      <c r="Q15" s="47"/>
      <c r="R15" s="47"/>
      <c r="S15" s="47"/>
      <c r="T15" s="47"/>
      <c r="U15" s="47"/>
      <c r="V15" s="322"/>
      <c r="W15" s="47"/>
      <c r="X15" s="47"/>
      <c r="Y15" s="84">
        <f>SUM(P15:X15)</f>
        <v>0</v>
      </c>
      <c r="Z15" s="84">
        <f>+Y15+O15</f>
        <v>2363456.8723413325</v>
      </c>
      <c r="AA15" s="84">
        <v>0</v>
      </c>
      <c r="AB15" s="84">
        <f>AA15</f>
        <v>0</v>
      </c>
    </row>
    <row r="16" spans="1:28" x14ac:dyDescent="0.2">
      <c r="A16" s="5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83"/>
      <c r="P16" s="27"/>
      <c r="Q16" s="27"/>
      <c r="R16" s="27"/>
      <c r="S16" s="27"/>
      <c r="T16" s="27"/>
      <c r="U16" s="27"/>
      <c r="V16" s="321"/>
      <c r="W16" s="27"/>
      <c r="X16" s="27"/>
      <c r="Y16" s="83"/>
      <c r="Z16" s="83"/>
      <c r="AA16" s="83"/>
      <c r="AB16" s="83">
        <f>AA16</f>
        <v>0</v>
      </c>
    </row>
    <row r="17" spans="1:28" x14ac:dyDescent="0.2">
      <c r="A17" s="5">
        <v>4</v>
      </c>
      <c r="B17" s="1" t="s">
        <v>96</v>
      </c>
      <c r="C17" s="27">
        <f t="shared" ref="C17:AB17" si="0">SUM(C13:C15)</f>
        <v>4361865.1630657017</v>
      </c>
      <c r="D17" s="27">
        <f t="shared" si="0"/>
        <v>2363456.8723413325</v>
      </c>
      <c r="E17" s="27">
        <f t="shared" si="0"/>
        <v>0</v>
      </c>
      <c r="F17" s="27">
        <f t="shared" si="0"/>
        <v>0</v>
      </c>
      <c r="G17" s="27">
        <f t="shared" si="0"/>
        <v>0</v>
      </c>
      <c r="H17" s="27">
        <f t="shared" si="0"/>
        <v>0</v>
      </c>
      <c r="I17" s="27">
        <f t="shared" si="0"/>
        <v>0</v>
      </c>
      <c r="J17" s="27">
        <f t="shared" si="0"/>
        <v>0</v>
      </c>
      <c r="K17" s="27">
        <f t="shared" si="0"/>
        <v>0</v>
      </c>
      <c r="L17" s="27">
        <f t="shared" si="0"/>
        <v>0</v>
      </c>
      <c r="M17" s="27">
        <f t="shared" ref="M17" si="1">SUM(M13:M15)</f>
        <v>0</v>
      </c>
      <c r="N17" s="27"/>
      <c r="O17" s="83">
        <f>SUM(O13:O15)</f>
        <v>6725322.0354070347</v>
      </c>
      <c r="P17" s="27">
        <f t="shared" si="0"/>
        <v>0</v>
      </c>
      <c r="Q17" s="27">
        <f t="shared" si="0"/>
        <v>0</v>
      </c>
      <c r="R17" s="27">
        <f t="shared" si="0"/>
        <v>0</v>
      </c>
      <c r="S17" s="27">
        <f t="shared" si="0"/>
        <v>0</v>
      </c>
      <c r="T17" s="27">
        <f>SUM(T13:T15)</f>
        <v>0</v>
      </c>
      <c r="U17" s="27">
        <f>SUM(U13:U15)</f>
        <v>0</v>
      </c>
      <c r="V17" s="27">
        <f>SUM(V13:V15)</f>
        <v>0</v>
      </c>
      <c r="W17" s="27"/>
      <c r="X17" s="27">
        <f t="shared" ref="W17:X17" si="2">SUM(X13:X15)</f>
        <v>0</v>
      </c>
      <c r="Y17" s="83">
        <f t="shared" si="0"/>
        <v>0</v>
      </c>
      <c r="Z17" s="83">
        <f t="shared" si="0"/>
        <v>6725322.0354070347</v>
      </c>
      <c r="AA17" s="83">
        <f t="shared" si="0"/>
        <v>0</v>
      </c>
      <c r="AB17" s="83">
        <f t="shared" si="0"/>
        <v>0</v>
      </c>
    </row>
    <row r="18" spans="1:28" x14ac:dyDescent="0.2">
      <c r="A18" s="5"/>
      <c r="B18" s="1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83"/>
      <c r="P18" s="27"/>
      <c r="Q18" s="27"/>
      <c r="R18" s="27"/>
      <c r="S18" s="27"/>
      <c r="T18" s="27"/>
      <c r="U18" s="27"/>
      <c r="V18" s="27"/>
      <c r="W18" s="27"/>
      <c r="X18" s="27"/>
      <c r="Y18" s="83"/>
      <c r="Z18" s="83"/>
      <c r="AA18" s="83"/>
      <c r="AB18" s="83">
        <f t="shared" ref="AB18:AB31" si="3">AA18</f>
        <v>0</v>
      </c>
    </row>
    <row r="19" spans="1:28" x14ac:dyDescent="0.2">
      <c r="A19" s="5"/>
      <c r="B19" s="1" t="s">
        <v>103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83"/>
      <c r="P19" s="27"/>
      <c r="Q19" s="27"/>
      <c r="R19" s="27"/>
      <c r="S19" s="27"/>
      <c r="T19" s="27"/>
      <c r="U19" s="27"/>
      <c r="V19" s="27"/>
      <c r="W19" s="27"/>
      <c r="X19" s="27"/>
      <c r="Y19" s="83"/>
      <c r="Z19" s="83"/>
      <c r="AA19" s="83"/>
      <c r="AB19" s="83">
        <f t="shared" si="3"/>
        <v>0</v>
      </c>
    </row>
    <row r="20" spans="1:28" x14ac:dyDescent="0.2">
      <c r="A20" s="5">
        <v>5</v>
      </c>
      <c r="B20" s="1" t="s">
        <v>105</v>
      </c>
      <c r="C20" s="27">
        <f>+'KTW-4 p3 - Revenue &amp; Gas Cost'!K35</f>
        <v>4403405.372562971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83">
        <f>SUM(C20:N20)</f>
        <v>4403405.372562971</v>
      </c>
      <c r="P20" s="27"/>
      <c r="Q20" s="27"/>
      <c r="R20" s="27"/>
      <c r="S20" s="27"/>
      <c r="T20" s="27"/>
      <c r="U20" s="27"/>
      <c r="V20" s="27"/>
      <c r="W20" s="27"/>
      <c r="X20" s="27"/>
      <c r="Y20" s="83">
        <f>SUM(P20:X20)</f>
        <v>0</v>
      </c>
      <c r="Z20" s="83">
        <f>+Y20+O20</f>
        <v>4403405.372562971</v>
      </c>
      <c r="AA20" s="83">
        <v>0</v>
      </c>
      <c r="AB20" s="83">
        <f t="shared" si="3"/>
        <v>0</v>
      </c>
    </row>
    <row r="21" spans="1:28" x14ac:dyDescent="0.2">
      <c r="A21" s="5">
        <v>6</v>
      </c>
      <c r="B21" s="1" t="s">
        <v>112</v>
      </c>
      <c r="C21" s="27">
        <f>(+C13+C14)*'KTW-3 p8 - Cost of Cap'!$C$44</f>
        <v>4574.306885931509</v>
      </c>
      <c r="D21" s="27"/>
      <c r="E21" s="27"/>
      <c r="F21" s="27"/>
      <c r="G21" s="27">
        <f>+'KTW-4 p7 - Uncollectible'!C44</f>
        <v>-26272.787344681186</v>
      </c>
      <c r="H21" s="27"/>
      <c r="I21" s="27"/>
      <c r="J21" s="27"/>
      <c r="K21" s="27"/>
      <c r="L21" s="27"/>
      <c r="M21" s="27"/>
      <c r="N21" s="27"/>
      <c r="O21" s="83">
        <f>SUM(C21:N21)</f>
        <v>-21698.480458749676</v>
      </c>
      <c r="P21" s="27"/>
      <c r="Q21" s="27"/>
      <c r="R21" s="27"/>
      <c r="S21" s="27"/>
      <c r="T21" s="27"/>
      <c r="U21" s="27"/>
      <c r="V21" s="27"/>
      <c r="W21" s="27"/>
      <c r="X21" s="27"/>
      <c r="Y21" s="83">
        <f>SUM(P21:X21)</f>
        <v>0</v>
      </c>
      <c r="Z21" s="83">
        <f>+Y21+O21</f>
        <v>-21698.480458749676</v>
      </c>
      <c r="AA21" s="83">
        <v>0</v>
      </c>
      <c r="AB21" s="83">
        <f t="shared" si="3"/>
        <v>0</v>
      </c>
    </row>
    <row r="22" spans="1:28" x14ac:dyDescent="0.2">
      <c r="A22" s="5">
        <v>7</v>
      </c>
      <c r="B22" s="1" t="s">
        <v>115</v>
      </c>
      <c r="C22" s="47"/>
      <c r="D22" s="47"/>
      <c r="E22" s="47">
        <f>'KTW-4 p5 - Bonuses'!H26</f>
        <v>42096.985356000201</v>
      </c>
      <c r="F22" s="47"/>
      <c r="G22" s="47"/>
      <c r="H22" s="47"/>
      <c r="I22" s="47">
        <f>'KTW-4 p9 - Marketing'!E27</f>
        <v>-284212.74689059961</v>
      </c>
      <c r="J22" s="47">
        <f>'KTW-4 p10 - Claims'!D23</f>
        <v>4066.315266666667</v>
      </c>
      <c r="K22" s="47">
        <f>+'KTW-4 p11 - Rate Case Exp'!C13</f>
        <v>110000</v>
      </c>
      <c r="L22" s="47">
        <f>+'KTW-4 p12 - Clearing'!D10</f>
        <v>-30850.694657576569</v>
      </c>
      <c r="M22" s="47">
        <f>+'KTW-4 p13 - Holdco'!C23</f>
        <v>14027.744708571439</v>
      </c>
      <c r="N22" s="47"/>
      <c r="O22" s="84">
        <f>SUM(C22:N22)</f>
        <v>-144872.39621693786</v>
      </c>
      <c r="P22" s="47">
        <f>+'KTW-5 p3 - Payroll 1'!C31</f>
        <v>404649.229845419</v>
      </c>
      <c r="Q22" s="47">
        <f>+'KTW-5 p5 - Pay Overheads'!E26</f>
        <v>129529.70909028764</v>
      </c>
      <c r="R22" s="47">
        <f>'KTW-5 p6 - 250 Taylor'!C10</f>
        <v>307157</v>
      </c>
      <c r="S22" s="47"/>
      <c r="T22" s="47"/>
      <c r="U22" s="47"/>
      <c r="V22" s="47"/>
      <c r="W22" s="47"/>
      <c r="X22" s="47"/>
      <c r="Y22" s="84">
        <f>SUM(P22:X22)</f>
        <v>841335.93893570662</v>
      </c>
      <c r="Z22" s="84">
        <f>+Y22+O22</f>
        <v>696463.54271876882</v>
      </c>
      <c r="AA22" s="84">
        <f>'KTW-5 p7,KTW-8 p3 - Post TY Adj'!E12</f>
        <v>459931.69999999984</v>
      </c>
      <c r="AB22" s="84">
        <f t="shared" si="3"/>
        <v>459931.69999999984</v>
      </c>
    </row>
    <row r="23" spans="1:28" x14ac:dyDescent="0.2">
      <c r="A23" s="5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83"/>
      <c r="P23" s="27"/>
      <c r="Q23" s="27"/>
      <c r="R23" s="27"/>
      <c r="S23" s="27"/>
      <c r="T23" s="27"/>
      <c r="U23" s="27"/>
      <c r="V23" s="27"/>
      <c r="W23" s="27"/>
      <c r="X23" s="27"/>
      <c r="Y23" s="83"/>
      <c r="Z23" s="83"/>
      <c r="AA23" s="83"/>
      <c r="AB23" s="83">
        <f t="shared" si="3"/>
        <v>0</v>
      </c>
    </row>
    <row r="24" spans="1:28" x14ac:dyDescent="0.2">
      <c r="A24" s="5">
        <v>8</v>
      </c>
      <c r="B24" s="3" t="s">
        <v>118</v>
      </c>
      <c r="C24" s="27">
        <f t="shared" ref="C24:AA24" si="4">C20+C21+C22</f>
        <v>4407979.6794489026</v>
      </c>
      <c r="D24" s="27">
        <f t="shared" si="4"/>
        <v>0</v>
      </c>
      <c r="E24" s="27">
        <f t="shared" si="4"/>
        <v>42096.985356000201</v>
      </c>
      <c r="F24" s="27">
        <f t="shared" si="4"/>
        <v>0</v>
      </c>
      <c r="G24" s="27">
        <f t="shared" si="4"/>
        <v>-26272.787344681186</v>
      </c>
      <c r="H24" s="27">
        <f t="shared" si="4"/>
        <v>0</v>
      </c>
      <c r="I24" s="27">
        <f t="shared" si="4"/>
        <v>-284212.74689059961</v>
      </c>
      <c r="J24" s="27">
        <f t="shared" si="4"/>
        <v>4066.315266666667</v>
      </c>
      <c r="K24" s="27">
        <f t="shared" si="4"/>
        <v>110000</v>
      </c>
      <c r="L24" s="27">
        <f t="shared" si="4"/>
        <v>-30850.694657576569</v>
      </c>
      <c r="M24" s="27">
        <f t="shared" ref="M24" si="5">M20+M21+M22</f>
        <v>14027.744708571439</v>
      </c>
      <c r="N24" s="27"/>
      <c r="O24" s="83">
        <f t="shared" si="4"/>
        <v>4236834.4958872832</v>
      </c>
      <c r="P24" s="27">
        <f t="shared" si="4"/>
        <v>404649.229845419</v>
      </c>
      <c r="Q24" s="27">
        <f t="shared" si="4"/>
        <v>129529.70909028764</v>
      </c>
      <c r="R24" s="27">
        <f t="shared" si="4"/>
        <v>307157</v>
      </c>
      <c r="S24" s="27">
        <f t="shared" si="4"/>
        <v>0</v>
      </c>
      <c r="T24" s="27">
        <f t="shared" ref="T24:U24" si="6">T20+T21+T22</f>
        <v>0</v>
      </c>
      <c r="U24" s="27">
        <f t="shared" si="6"/>
        <v>0</v>
      </c>
      <c r="V24" s="27">
        <f t="shared" ref="V24" si="7">V20+V21+V22</f>
        <v>0</v>
      </c>
      <c r="W24" s="27"/>
      <c r="X24" s="27">
        <f t="shared" ref="W24:X24" si="8">X20+X21+X22</f>
        <v>0</v>
      </c>
      <c r="Y24" s="83">
        <f t="shared" si="4"/>
        <v>841335.93893570662</v>
      </c>
      <c r="Z24" s="83">
        <f t="shared" si="4"/>
        <v>5078170.4348229906</v>
      </c>
      <c r="AA24" s="83">
        <f t="shared" si="4"/>
        <v>459931.69999999984</v>
      </c>
      <c r="AB24" s="83">
        <f t="shared" si="3"/>
        <v>459931.69999999984</v>
      </c>
    </row>
    <row r="25" spans="1:28" x14ac:dyDescent="0.2">
      <c r="A25" s="5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83"/>
      <c r="P25" s="27"/>
      <c r="Q25" s="27"/>
      <c r="R25" s="27"/>
      <c r="S25" s="27"/>
      <c r="T25" s="27"/>
      <c r="U25" s="27"/>
      <c r="V25" s="27"/>
      <c r="W25" s="27"/>
      <c r="X25" s="27"/>
      <c r="Y25" s="83"/>
      <c r="Z25" s="83"/>
      <c r="AA25" s="83"/>
      <c r="AB25" s="83">
        <f t="shared" si="3"/>
        <v>0</v>
      </c>
    </row>
    <row r="26" spans="1:28" x14ac:dyDescent="0.2">
      <c r="A26" s="5"/>
      <c r="C26" s="375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83"/>
      <c r="P26" s="27"/>
      <c r="Q26" s="27"/>
      <c r="R26" s="27"/>
      <c r="S26" s="27"/>
      <c r="T26" s="27"/>
      <c r="U26" s="27"/>
      <c r="V26" s="27"/>
      <c r="W26" s="27"/>
      <c r="X26" s="27"/>
      <c r="Y26" s="83"/>
      <c r="Z26" s="83"/>
      <c r="AA26" s="83"/>
      <c r="AB26" s="83">
        <f t="shared" si="3"/>
        <v>0</v>
      </c>
    </row>
    <row r="27" spans="1:28" x14ac:dyDescent="0.2">
      <c r="A27" s="5">
        <v>9</v>
      </c>
      <c r="B27" s="1" t="s">
        <v>123</v>
      </c>
      <c r="C27" s="27">
        <f>'KTW-4,5,8 p2 - Adjust Tax'!C$28</f>
        <v>-46800</v>
      </c>
      <c r="D27" s="27">
        <f>'KTW-4,5,8 p2 - Adjust Tax'!D28</f>
        <v>476215</v>
      </c>
      <c r="E27" s="27">
        <f>'KTW-4,5,8 p2 - Adjust Tax'!E28</f>
        <v>-8565</v>
      </c>
      <c r="F27" s="27">
        <f>'KTW-4,5,8 p2 - Adjust Tax'!F28</f>
        <v>10596</v>
      </c>
      <c r="G27" s="27">
        <f>'KTW-4,5,8 p2 - Adjust Tax'!G28</f>
        <v>5517</v>
      </c>
      <c r="H27" s="27">
        <f>'KTW-4,5,8 p2 - Adjust Tax'!H28</f>
        <v>-17085</v>
      </c>
      <c r="I27" s="27">
        <f>'KTW-4,5,8 p2 - Adjust Tax'!I28</f>
        <v>59685</v>
      </c>
      <c r="J27" s="27">
        <f>'KTW-4,5,8 p2 - Adjust Tax'!J28</f>
        <v>-846</v>
      </c>
      <c r="K27" s="27">
        <f>'KTW-4,5,8 p2 - Adjust Tax'!K28</f>
        <v>-23100</v>
      </c>
      <c r="L27" s="27">
        <f>'KTW-4,5,8 p2 - Adjust Tax'!L28</f>
        <v>6863</v>
      </c>
      <c r="M27" s="27">
        <f>'KTW-4,5,8 p2 - Adjust Tax'!M28</f>
        <v>-2946</v>
      </c>
      <c r="N27" s="27"/>
      <c r="O27" s="83">
        <f>SUM(C27:N27)</f>
        <v>459534</v>
      </c>
      <c r="P27" s="27">
        <f>'KTW-4,5,8 p2 - Adjust Tax'!P28</f>
        <v>-84976</v>
      </c>
      <c r="Q27" s="27">
        <f>'KTW-4,5,8 p2 - Adjust Tax'!Q28</f>
        <v>-33702</v>
      </c>
      <c r="R27" s="27">
        <f>'KTW-4,5,8 p2 - Adjust Tax'!R28</f>
        <v>-64503</v>
      </c>
      <c r="S27" s="27">
        <f>'KTW-4,5,8 p2 - Adjust Tax'!S28</f>
        <v>-295577</v>
      </c>
      <c r="T27" s="27">
        <f>'KTW-4,5,8 p2 - Adjust Tax'!T28</f>
        <v>-2725</v>
      </c>
      <c r="U27" s="27">
        <f>'KTW-4,5,8 p2 - Adjust Tax'!U28</f>
        <v>-132223</v>
      </c>
      <c r="V27" s="27">
        <f>'KTW-4,5,8 p2 - Adjust Tax'!V28</f>
        <v>-26709</v>
      </c>
      <c r="W27" s="27"/>
      <c r="X27" s="27">
        <v>25000</v>
      </c>
      <c r="Y27" s="83">
        <f>SUM(P27:X27)</f>
        <v>-615415</v>
      </c>
      <c r="Z27" s="83">
        <f>+Y27+O27</f>
        <v>-155881</v>
      </c>
      <c r="AA27" s="83">
        <f>'KTW-4,5,8 p2 - Adjust Tax'!AA28</f>
        <v>-371753</v>
      </c>
      <c r="AB27" s="83">
        <f t="shared" si="3"/>
        <v>-371753</v>
      </c>
    </row>
    <row r="28" spans="1:28" x14ac:dyDescent="0.2">
      <c r="A28" s="5">
        <v>10</v>
      </c>
      <c r="B28" s="1" t="s">
        <v>124</v>
      </c>
      <c r="C28" s="27"/>
      <c r="D28" s="27"/>
      <c r="E28" s="27"/>
      <c r="F28" s="27">
        <f>+'KTW-4 p6 - Property Taxes'!C17</f>
        <v>-50455.099999999067</v>
      </c>
      <c r="G28" s="27"/>
      <c r="H28" s="27"/>
      <c r="I28" s="27"/>
      <c r="J28" s="27"/>
      <c r="K28" s="27"/>
      <c r="L28" s="27"/>
      <c r="M28" s="27"/>
      <c r="N28" s="27"/>
      <c r="O28" s="83">
        <f>SUM(C28:N28)</f>
        <v>-50455.099999999067</v>
      </c>
      <c r="P28" s="27"/>
      <c r="Q28" s="27"/>
      <c r="R28" s="27"/>
      <c r="S28" s="27"/>
      <c r="T28" s="27"/>
      <c r="U28" s="27"/>
      <c r="V28" s="321"/>
      <c r="W28" s="27"/>
      <c r="X28" s="27"/>
      <c r="Y28" s="83">
        <f>SUM(P28:X28)</f>
        <v>0</v>
      </c>
      <c r="Z28" s="83">
        <f>+Y28+O28</f>
        <v>-50455.099999999067</v>
      </c>
      <c r="AA28" s="83">
        <v>0</v>
      </c>
      <c r="AB28" s="83">
        <f t="shared" si="3"/>
        <v>0</v>
      </c>
    </row>
    <row r="29" spans="1:28" x14ac:dyDescent="0.2">
      <c r="A29" s="5">
        <v>11</v>
      </c>
      <c r="B29" s="1" t="s">
        <v>128</v>
      </c>
      <c r="C29" s="27">
        <f>(+C17*(+'KTW-3 p8 - Cost of Cap'!$C26+'KTW-3 p8 - Cost of Cap'!$C27))</f>
        <v>176742.77640742224</v>
      </c>
      <c r="D29" s="27">
        <f>(+D17*(+'KTW-3 p8 - Cost of Cap'!$C26+'KTW-3 p8 - Cost of Cap'!$C27))</f>
        <v>95767.272467270799</v>
      </c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83">
        <f>SUM(C29:N29)</f>
        <v>272510.04887469305</v>
      </c>
      <c r="P29" s="27"/>
      <c r="Q29" s="27">
        <f>+'KTW-5 p5 - Pay Overheads'!E40</f>
        <v>30955.666083174558</v>
      </c>
      <c r="R29" s="27"/>
      <c r="S29" s="27"/>
      <c r="T29" s="27"/>
      <c r="U29" s="27"/>
      <c r="V29" s="321"/>
      <c r="W29" s="27"/>
      <c r="X29" s="27"/>
      <c r="Y29" s="83">
        <f>SUM(P29:X29)</f>
        <v>30955.666083174558</v>
      </c>
      <c r="Z29" s="83">
        <f>+Y29+O29</f>
        <v>303465.71495786763</v>
      </c>
      <c r="AA29" s="83">
        <v>0</v>
      </c>
      <c r="AB29" s="83">
        <f t="shared" si="3"/>
        <v>0</v>
      </c>
    </row>
    <row r="30" spans="1:28" x14ac:dyDescent="0.2">
      <c r="A30" s="5">
        <v>12</v>
      </c>
      <c r="B30" s="1" t="s">
        <v>129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84">
        <f>SUM(C30:N30)</f>
        <v>0</v>
      </c>
      <c r="P30" s="47"/>
      <c r="Q30" s="47"/>
      <c r="R30" s="47"/>
      <c r="S30" s="47">
        <f>+'KTW-5 p7,KTW-8 p3 - Post TY Adj'!C14</f>
        <v>906066.07278298936</v>
      </c>
      <c r="T30" s="47">
        <v>0</v>
      </c>
      <c r="U30" s="47">
        <f>'KTW-5 p9 - EOP Deprec Exp'!C15</f>
        <v>629634.86844113655</v>
      </c>
      <c r="V30" s="322"/>
      <c r="W30" s="47"/>
      <c r="X30" s="47"/>
      <c r="Y30" s="84">
        <f>SUM(P30:X30)</f>
        <v>1535700.9412241259</v>
      </c>
      <c r="Z30" s="84">
        <f>+Y30+O30</f>
        <v>1535700.9412241259</v>
      </c>
      <c r="AA30" s="84">
        <f>'KTW-5 p7,KTW-8 p3 - Post TY Adj'!E14</f>
        <v>816145.51874545321</v>
      </c>
      <c r="AB30" s="84">
        <f t="shared" si="3"/>
        <v>816145.51874545321</v>
      </c>
    </row>
    <row r="31" spans="1:28" x14ac:dyDescent="0.2">
      <c r="A31" s="5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83"/>
      <c r="P31" s="27"/>
      <c r="Q31" s="27"/>
      <c r="R31" s="27"/>
      <c r="S31" s="27"/>
      <c r="T31" s="27"/>
      <c r="U31" s="27"/>
      <c r="V31" s="321"/>
      <c r="W31" s="27"/>
      <c r="X31" s="27"/>
      <c r="Y31" s="83"/>
      <c r="Z31" s="83"/>
      <c r="AA31" s="83"/>
      <c r="AB31" s="83">
        <f t="shared" si="3"/>
        <v>0</v>
      </c>
    </row>
    <row r="32" spans="1:28" x14ac:dyDescent="0.2">
      <c r="A32" s="5">
        <v>13</v>
      </c>
      <c r="B32" s="1" t="s">
        <v>132</v>
      </c>
      <c r="C32" s="47">
        <f t="shared" ref="C32:Z32" si="9">SUM(C24:C30)</f>
        <v>4537922.4558563251</v>
      </c>
      <c r="D32" s="47">
        <f t="shared" si="9"/>
        <v>571982.27246727084</v>
      </c>
      <c r="E32" s="47">
        <f t="shared" si="9"/>
        <v>33531.985356000201</v>
      </c>
      <c r="F32" s="47">
        <f t="shared" si="9"/>
        <v>-39859.099999999067</v>
      </c>
      <c r="G32" s="47">
        <f t="shared" si="9"/>
        <v>-20755.787344681186</v>
      </c>
      <c r="H32" s="47">
        <f t="shared" si="9"/>
        <v>-17085</v>
      </c>
      <c r="I32" s="47">
        <f t="shared" si="9"/>
        <v>-224527.74689059961</v>
      </c>
      <c r="J32" s="47">
        <f t="shared" si="9"/>
        <v>3220.315266666667</v>
      </c>
      <c r="K32" s="47">
        <f t="shared" si="9"/>
        <v>86900</v>
      </c>
      <c r="L32" s="47">
        <f t="shared" si="9"/>
        <v>-23987.694657576569</v>
      </c>
      <c r="M32" s="47">
        <f t="shared" ref="M32" si="10">SUM(M24:M30)</f>
        <v>11081.744708571439</v>
      </c>
      <c r="N32" s="47"/>
      <c r="O32" s="84">
        <f t="shared" si="9"/>
        <v>4918423.4447619775</v>
      </c>
      <c r="P32" s="47">
        <f t="shared" si="9"/>
        <v>319673.229845419</v>
      </c>
      <c r="Q32" s="47">
        <f t="shared" si="9"/>
        <v>126783.37517346219</v>
      </c>
      <c r="R32" s="47">
        <f t="shared" si="9"/>
        <v>242654</v>
      </c>
      <c r="S32" s="47">
        <f t="shared" si="9"/>
        <v>610489.07278298936</v>
      </c>
      <c r="T32" s="47">
        <f t="shared" ref="T32:U32" si="11">SUM(T24:T30)</f>
        <v>-2725</v>
      </c>
      <c r="U32" s="47">
        <f t="shared" si="11"/>
        <v>497411.86844113655</v>
      </c>
      <c r="V32" s="47">
        <f t="shared" ref="V32" si="12">SUM(V24:V30)</f>
        <v>-26709</v>
      </c>
      <c r="W32" s="47"/>
      <c r="X32" s="47">
        <f t="shared" ref="W32:X32" si="13">SUM(X24:X30)</f>
        <v>25000</v>
      </c>
      <c r="Y32" s="84">
        <f t="shared" si="9"/>
        <v>1792577.5462430071</v>
      </c>
      <c r="Z32" s="84">
        <f t="shared" si="9"/>
        <v>6711000.9910049858</v>
      </c>
      <c r="AA32" s="84">
        <f t="shared" ref="AA32:AB32" si="14">SUM(AA24:AA30)</f>
        <v>904324.21874545305</v>
      </c>
      <c r="AB32" s="84">
        <f t="shared" si="14"/>
        <v>904324.21874545305</v>
      </c>
    </row>
    <row r="33" spans="1:28" x14ac:dyDescent="0.2">
      <c r="A33" s="5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83"/>
      <c r="P33" s="27"/>
      <c r="Q33" s="27"/>
      <c r="R33" s="27"/>
      <c r="S33" s="27"/>
      <c r="T33" s="27"/>
      <c r="U33" s="27"/>
      <c r="V33" s="27"/>
      <c r="W33" s="27"/>
      <c r="X33" s="27"/>
      <c r="Y33" s="83"/>
      <c r="Z33" s="83"/>
      <c r="AA33" s="83"/>
      <c r="AB33" s="83"/>
    </row>
    <row r="34" spans="1:28" ht="15.75" thickBot="1" x14ac:dyDescent="0.25">
      <c r="A34" s="5">
        <v>14</v>
      </c>
      <c r="B34" s="1" t="s">
        <v>138</v>
      </c>
      <c r="C34" s="85">
        <f t="shared" ref="C34:Z34" si="15">C17-C32</f>
        <v>-176057.29279062338</v>
      </c>
      <c r="D34" s="85">
        <f t="shared" si="15"/>
        <v>1791474.5998740615</v>
      </c>
      <c r="E34" s="85">
        <f t="shared" si="15"/>
        <v>-33531.985356000201</v>
      </c>
      <c r="F34" s="85">
        <f t="shared" si="15"/>
        <v>39859.099999999067</v>
      </c>
      <c r="G34" s="85">
        <f t="shared" si="15"/>
        <v>20755.787344681186</v>
      </c>
      <c r="H34" s="85">
        <f t="shared" si="15"/>
        <v>17085</v>
      </c>
      <c r="I34" s="85">
        <f t="shared" si="15"/>
        <v>224527.74689059961</v>
      </c>
      <c r="J34" s="85">
        <f t="shared" si="15"/>
        <v>-3220.315266666667</v>
      </c>
      <c r="K34" s="85">
        <f t="shared" si="15"/>
        <v>-86900</v>
      </c>
      <c r="L34" s="85">
        <f t="shared" si="15"/>
        <v>23987.694657576569</v>
      </c>
      <c r="M34" s="85">
        <f t="shared" ref="M34" si="16">M17-M32</f>
        <v>-11081.744708571439</v>
      </c>
      <c r="N34" s="85"/>
      <c r="O34" s="86">
        <f t="shared" si="15"/>
        <v>1806898.5906450571</v>
      </c>
      <c r="P34" s="85">
        <f t="shared" si="15"/>
        <v>-319673.229845419</v>
      </c>
      <c r="Q34" s="85">
        <f t="shared" si="15"/>
        <v>-126783.37517346219</v>
      </c>
      <c r="R34" s="85">
        <f t="shared" si="15"/>
        <v>-242654</v>
      </c>
      <c r="S34" s="85">
        <f t="shared" si="15"/>
        <v>-610489.07278298936</v>
      </c>
      <c r="T34" s="85">
        <f t="shared" ref="T34" si="17">T17-T32</f>
        <v>2725</v>
      </c>
      <c r="U34" s="85">
        <f>U17-U32</f>
        <v>-497411.86844113655</v>
      </c>
      <c r="V34" s="85">
        <f t="shared" ref="V34" si="18">V17-V32</f>
        <v>26709</v>
      </c>
      <c r="W34" s="85"/>
      <c r="X34" s="85">
        <f t="shared" ref="W34:X34" si="19">X17-X32</f>
        <v>-25000</v>
      </c>
      <c r="Y34" s="86">
        <f t="shared" si="15"/>
        <v>-1792577.5462430071</v>
      </c>
      <c r="Z34" s="86">
        <f t="shared" si="15"/>
        <v>14321.044402048923</v>
      </c>
      <c r="AA34" s="86">
        <f t="shared" ref="AA34:AB34" si="20">AA17-AA32</f>
        <v>-904324.21874545305</v>
      </c>
      <c r="AB34" s="86">
        <f t="shared" si="20"/>
        <v>-904324.21874545305</v>
      </c>
    </row>
    <row r="35" spans="1:28" ht="15.75" thickTop="1" x14ac:dyDescent="0.2">
      <c r="A35" s="5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83"/>
      <c r="P35" s="27"/>
      <c r="Q35" s="27"/>
      <c r="R35" s="27"/>
      <c r="S35" s="27"/>
      <c r="T35" s="27"/>
      <c r="U35" s="27"/>
      <c r="V35" s="27"/>
      <c r="W35" s="27"/>
      <c r="X35" s="27"/>
      <c r="Y35" s="83"/>
      <c r="Z35" s="83"/>
      <c r="AA35" s="83"/>
      <c r="AB35" s="83">
        <f>AA35</f>
        <v>0</v>
      </c>
    </row>
    <row r="36" spans="1:28" x14ac:dyDescent="0.2">
      <c r="A36" s="5"/>
      <c r="B36" s="1" t="s">
        <v>133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83"/>
      <c r="P36" s="27"/>
      <c r="Q36" s="27"/>
      <c r="R36" s="27"/>
      <c r="S36" s="27"/>
      <c r="T36" s="27"/>
      <c r="U36" s="27"/>
      <c r="V36" s="27"/>
      <c r="W36" s="27"/>
      <c r="X36" s="27"/>
      <c r="Y36" s="83"/>
      <c r="Z36" s="83"/>
      <c r="AA36" s="83"/>
      <c r="AB36" s="83">
        <f>AA36</f>
        <v>0</v>
      </c>
    </row>
    <row r="37" spans="1:28" x14ac:dyDescent="0.2">
      <c r="A37" s="5">
        <v>15</v>
      </c>
      <c r="B37" s="1" t="s">
        <v>142</v>
      </c>
      <c r="C37" s="27"/>
      <c r="D37" s="27"/>
      <c r="E37" s="27">
        <f>'KTW-4 p5 - Bonuses'!H30</f>
        <v>-56749.607678736924</v>
      </c>
      <c r="F37" s="27"/>
      <c r="G37" s="27"/>
      <c r="H37" s="27">
        <f>'KTW-4 p8 - Working Cap'!D14</f>
        <v>3526472.2017828841</v>
      </c>
      <c r="I37" s="27"/>
      <c r="J37" s="27">
        <f>'KTW-4 p10 - Claims'!E23</f>
        <v>-1556.0999999999985</v>
      </c>
      <c r="K37" s="27"/>
      <c r="L37" s="27">
        <f>+'KTW-4 p12 - Clearing'!D12</f>
        <v>-79301.031419637919</v>
      </c>
      <c r="M37" s="27">
        <f>+'KTW-4 p12 - Clearing'!E12</f>
        <v>0</v>
      </c>
      <c r="N37" s="27"/>
      <c r="O37" s="83">
        <f>SUM(C37:N37)</f>
        <v>3388865.4626845089</v>
      </c>
      <c r="P37" s="27"/>
      <c r="Q37" s="27"/>
      <c r="R37" s="27"/>
      <c r="S37" s="27">
        <f>+'KTW-5 p7,KTW-8 p3 - Post TY Adj'!C10</f>
        <v>21735765.834850535</v>
      </c>
      <c r="T37" s="27"/>
      <c r="U37" s="27"/>
      <c r="V37" s="27">
        <f>'KTW-5 p10 - EOP Rate Base'!C14</f>
        <v>9938907.189815104</v>
      </c>
      <c r="W37" s="27"/>
      <c r="X37" s="27"/>
      <c r="Y37" s="83">
        <f>SUM(P37:X37)</f>
        <v>31674673.024665639</v>
      </c>
      <c r="Z37" s="83">
        <f>+Y37+O37</f>
        <v>35063538.487350151</v>
      </c>
      <c r="AA37" s="83">
        <f>'KTW-5 p7,KTW-8 p3 - Post TY Adj'!E10</f>
        <v>21420708.367492773</v>
      </c>
      <c r="AB37" s="83">
        <f>AA37</f>
        <v>21420708.367492773</v>
      </c>
    </row>
    <row r="38" spans="1:28" x14ac:dyDescent="0.2">
      <c r="A38" s="5">
        <v>16</v>
      </c>
      <c r="B38" s="1" t="s">
        <v>145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84">
        <f>SUM(C38:L38)</f>
        <v>0</v>
      </c>
      <c r="P38" s="47"/>
      <c r="Q38" s="47"/>
      <c r="R38" s="47"/>
      <c r="S38" s="47"/>
      <c r="T38" s="47"/>
      <c r="U38" s="47"/>
      <c r="V38" s="47">
        <f>'KTW-5 p10 - EOP Rate Base'!D14</f>
        <v>-4418353.3119194806</v>
      </c>
      <c r="W38" s="47"/>
      <c r="X38" s="47"/>
      <c r="Y38" s="84">
        <f>SUM(P38:X38)</f>
        <v>-4418353.3119194806</v>
      </c>
      <c r="Z38" s="84">
        <f>+Y38+O38</f>
        <v>-4418353.3119194806</v>
      </c>
      <c r="AA38" s="84"/>
      <c r="AB38" s="84">
        <f>AA38</f>
        <v>0</v>
      </c>
    </row>
    <row r="39" spans="1:28" x14ac:dyDescent="0.2">
      <c r="A39" s="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83"/>
      <c r="P39" s="27"/>
      <c r="Q39" s="27"/>
      <c r="R39" s="27"/>
      <c r="S39" s="27"/>
      <c r="T39" s="27"/>
      <c r="U39" s="27"/>
      <c r="V39" s="27"/>
      <c r="W39" s="27"/>
      <c r="X39" s="27"/>
      <c r="Y39" s="83"/>
      <c r="Z39" s="83"/>
      <c r="AA39" s="83"/>
      <c r="AB39" s="83">
        <f>AA39</f>
        <v>0</v>
      </c>
    </row>
    <row r="40" spans="1:28" x14ac:dyDescent="0.2">
      <c r="A40" s="5">
        <v>17</v>
      </c>
      <c r="B40" s="1" t="s">
        <v>147</v>
      </c>
      <c r="C40" s="27">
        <f t="shared" ref="C40:Y40" si="21">C37+C38</f>
        <v>0</v>
      </c>
      <c r="D40" s="27">
        <f t="shared" si="21"/>
        <v>0</v>
      </c>
      <c r="E40" s="27">
        <f t="shared" si="21"/>
        <v>-56749.607678736924</v>
      </c>
      <c r="F40" s="27">
        <f t="shared" si="21"/>
        <v>0</v>
      </c>
      <c r="G40" s="27">
        <f t="shared" si="21"/>
        <v>0</v>
      </c>
      <c r="H40" s="27">
        <f t="shared" si="21"/>
        <v>3526472.2017828841</v>
      </c>
      <c r="I40" s="27">
        <f t="shared" si="21"/>
        <v>0</v>
      </c>
      <c r="J40" s="27">
        <f t="shared" si="21"/>
        <v>-1556.0999999999985</v>
      </c>
      <c r="K40" s="27">
        <f t="shared" si="21"/>
        <v>0</v>
      </c>
      <c r="L40" s="27">
        <f t="shared" si="21"/>
        <v>-79301.031419637919</v>
      </c>
      <c r="M40" s="27">
        <f t="shared" ref="M40" si="22">M37+M38</f>
        <v>0</v>
      </c>
      <c r="N40" s="27"/>
      <c r="O40" s="83">
        <f t="shared" si="21"/>
        <v>3388865.4626845089</v>
      </c>
      <c r="P40" s="27">
        <f t="shared" si="21"/>
        <v>0</v>
      </c>
      <c r="Q40" s="27">
        <f t="shared" si="21"/>
        <v>0</v>
      </c>
      <c r="R40" s="27">
        <f t="shared" si="21"/>
        <v>0</v>
      </c>
      <c r="S40" s="27">
        <f t="shared" si="21"/>
        <v>21735765.834850535</v>
      </c>
      <c r="T40" s="27">
        <f t="shared" ref="T40:U40" si="23">T37+T38</f>
        <v>0</v>
      </c>
      <c r="U40" s="27">
        <f t="shared" si="23"/>
        <v>0</v>
      </c>
      <c r="V40" s="27">
        <f t="shared" ref="V40" si="24">V37+V38</f>
        <v>5520553.8778956234</v>
      </c>
      <c r="W40" s="27"/>
      <c r="X40" s="27">
        <f t="shared" ref="X40" si="25">X37+X38</f>
        <v>0</v>
      </c>
      <c r="Y40" s="83">
        <f t="shared" si="21"/>
        <v>27256319.712746158</v>
      </c>
      <c r="Z40" s="83">
        <f>Z37+Z38</f>
        <v>30645185.17543067</v>
      </c>
      <c r="AA40" s="83">
        <f t="shared" ref="AA40:AB40" si="26">AA37+AA38</f>
        <v>21420708.367492773</v>
      </c>
      <c r="AB40" s="83">
        <f t="shared" si="26"/>
        <v>21420708.367492773</v>
      </c>
    </row>
    <row r="41" spans="1:28" x14ac:dyDescent="0.2">
      <c r="A41" s="5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83"/>
      <c r="P41" s="27"/>
      <c r="Q41" s="27"/>
      <c r="R41" s="27"/>
      <c r="S41" s="27"/>
      <c r="T41" s="27"/>
      <c r="U41" s="27"/>
      <c r="V41" s="27"/>
      <c r="W41" s="27"/>
      <c r="X41" s="27"/>
      <c r="Y41" s="83"/>
      <c r="Z41" s="83"/>
      <c r="AA41" s="83"/>
      <c r="AB41" s="83">
        <f>AA41</f>
        <v>0</v>
      </c>
    </row>
    <row r="42" spans="1:28" x14ac:dyDescent="0.2">
      <c r="A42" s="5">
        <v>18</v>
      </c>
      <c r="B42" s="1" t="s">
        <v>150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83">
        <f>SUM(C42:L42)</f>
        <v>0</v>
      </c>
      <c r="P42" s="27"/>
      <c r="Q42" s="27"/>
      <c r="R42" s="27"/>
      <c r="S42" s="27"/>
      <c r="T42" s="27"/>
      <c r="U42" s="27"/>
      <c r="V42" s="27">
        <f>'KTW-5 p10 - EOP Rate Base'!E14</f>
        <v>-1145.4506162917241</v>
      </c>
      <c r="W42" s="27"/>
      <c r="X42" s="27"/>
      <c r="Y42" s="83">
        <f>SUM(P42:X42)</f>
        <v>-1145.4506162917241</v>
      </c>
      <c r="Z42" s="83">
        <f>+Y42+O42</f>
        <v>-1145.4506162917241</v>
      </c>
      <c r="AA42" s="83"/>
      <c r="AB42" s="83">
        <f>AA42</f>
        <v>0</v>
      </c>
    </row>
    <row r="43" spans="1:28" x14ac:dyDescent="0.2">
      <c r="A43" s="5">
        <v>19</v>
      </c>
      <c r="B43" s="3" t="s">
        <v>204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83">
        <f>SUM(C43:L43)</f>
        <v>0</v>
      </c>
      <c r="P43" s="27"/>
      <c r="Q43" s="27"/>
      <c r="R43" s="27"/>
      <c r="S43" s="27"/>
      <c r="T43" s="27"/>
      <c r="U43" s="27"/>
      <c r="V43" s="27">
        <f>'KTW-5 p10 - EOP Rate Base'!F14</f>
        <v>-125151.54166666651</v>
      </c>
      <c r="W43" s="27"/>
      <c r="X43" s="27"/>
      <c r="Y43" s="83">
        <f>SUM(P43:X43)</f>
        <v>-125151.54166666651</v>
      </c>
      <c r="Z43" s="83">
        <f>+Y43+O43</f>
        <v>-125151.54166666651</v>
      </c>
      <c r="AA43" s="83"/>
      <c r="AB43" s="83">
        <f>AA43</f>
        <v>0</v>
      </c>
    </row>
    <row r="44" spans="1:28" x14ac:dyDescent="0.2">
      <c r="A44" s="5">
        <v>20</v>
      </c>
      <c r="B44" s="1" t="s">
        <v>154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83">
        <f>SUM(C44:L44)</f>
        <v>0</v>
      </c>
      <c r="P44" s="27"/>
      <c r="Q44" s="27"/>
      <c r="R44" s="27"/>
      <c r="S44" s="27"/>
      <c r="T44" s="27"/>
      <c r="U44" s="27"/>
      <c r="V44" s="27">
        <f>'KTW-5 p10 - EOP Rate Base'!G14</f>
        <v>383390.08280033292</v>
      </c>
      <c r="W44" s="27"/>
      <c r="X44" s="27"/>
      <c r="Y44" s="83">
        <f>SUM(P44:X44)</f>
        <v>383390.08280033292</v>
      </c>
      <c r="Z44" s="83">
        <f>+Y44+O44</f>
        <v>383390.08280033292</v>
      </c>
      <c r="AA44" s="83"/>
      <c r="AB44" s="83">
        <f>AA44</f>
        <v>0</v>
      </c>
    </row>
    <row r="45" spans="1:28" x14ac:dyDescent="0.2">
      <c r="A45" s="5">
        <v>21</v>
      </c>
      <c r="B45" s="1" t="s">
        <v>156</v>
      </c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84">
        <f>SUM(C45:L45)</f>
        <v>0</v>
      </c>
      <c r="P45" s="47"/>
      <c r="Q45" s="47"/>
      <c r="R45" s="47"/>
      <c r="S45" s="47"/>
      <c r="T45" s="47">
        <f>'KTW-5 p8 - EDIT RB Adj.'!C15</f>
        <v>562500</v>
      </c>
      <c r="U45" s="47">
        <f>'KTW-5 p8 - EDIT RB Adj.'!D15</f>
        <v>0</v>
      </c>
      <c r="V45" s="47">
        <f>'KTW-5 p10 - EOP Rate Base'!H14</f>
        <v>-264594.21447316557</v>
      </c>
      <c r="W45" s="47"/>
      <c r="X45" s="47"/>
      <c r="Y45" s="84">
        <f>SUM(P45:X45)</f>
        <v>297905.78552683443</v>
      </c>
      <c r="Z45" s="84">
        <f>+Y45+O45</f>
        <v>297905.78552683443</v>
      </c>
      <c r="AA45" s="84"/>
      <c r="AB45" s="84">
        <f>AA45</f>
        <v>0</v>
      </c>
    </row>
    <row r="46" spans="1:28" x14ac:dyDescent="0.2">
      <c r="A46" s="5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83"/>
      <c r="P46" s="27"/>
      <c r="Q46" s="27"/>
      <c r="R46" s="27"/>
      <c r="S46" s="27"/>
      <c r="T46" s="27"/>
      <c r="U46" s="27"/>
      <c r="V46" s="27"/>
      <c r="W46" s="27"/>
      <c r="X46" s="27"/>
      <c r="Y46" s="83"/>
      <c r="Z46" s="83"/>
      <c r="AA46" s="83"/>
      <c r="AB46" s="83"/>
    </row>
    <row r="47" spans="1:28" ht="15.75" thickBot="1" x14ac:dyDescent="0.25">
      <c r="A47" s="5">
        <v>22</v>
      </c>
      <c r="B47" s="1" t="s">
        <v>139</v>
      </c>
      <c r="C47" s="85">
        <f t="shared" ref="C47:Y47" si="27">SUM(C40:C45)</f>
        <v>0</v>
      </c>
      <c r="D47" s="85">
        <f t="shared" si="27"/>
        <v>0</v>
      </c>
      <c r="E47" s="85">
        <f t="shared" si="27"/>
        <v>-56749.607678736924</v>
      </c>
      <c r="F47" s="85">
        <f t="shared" si="27"/>
        <v>0</v>
      </c>
      <c r="G47" s="85">
        <f t="shared" si="27"/>
        <v>0</v>
      </c>
      <c r="H47" s="85">
        <f t="shared" si="27"/>
        <v>3526472.2017828841</v>
      </c>
      <c r="I47" s="85">
        <f t="shared" si="27"/>
        <v>0</v>
      </c>
      <c r="J47" s="85">
        <f t="shared" si="27"/>
        <v>-1556.0999999999985</v>
      </c>
      <c r="K47" s="85">
        <f t="shared" si="27"/>
        <v>0</v>
      </c>
      <c r="L47" s="85">
        <f t="shared" si="27"/>
        <v>-79301.031419637919</v>
      </c>
      <c r="M47" s="85">
        <f t="shared" ref="M47" si="28">SUM(M40:M45)</f>
        <v>0</v>
      </c>
      <c r="N47" s="85"/>
      <c r="O47" s="86">
        <f>SUM(O40:O45)</f>
        <v>3388865.4626845089</v>
      </c>
      <c r="P47" s="85">
        <f t="shared" si="27"/>
        <v>0</v>
      </c>
      <c r="Q47" s="85">
        <f t="shared" si="27"/>
        <v>0</v>
      </c>
      <c r="R47" s="85">
        <f t="shared" si="27"/>
        <v>0</v>
      </c>
      <c r="S47" s="85">
        <f t="shared" si="27"/>
        <v>21735765.834850535</v>
      </c>
      <c r="T47" s="85">
        <f>SUM(T40:T45)</f>
        <v>562500</v>
      </c>
      <c r="U47" s="85">
        <f>SUM(U40:U45)</f>
        <v>0</v>
      </c>
      <c r="V47" s="85">
        <f>SUM(V40:V45)</f>
        <v>5513052.7539398316</v>
      </c>
      <c r="W47" s="85"/>
      <c r="X47" s="85">
        <f t="shared" ref="W47:X47" si="29">SUM(X40:X45)</f>
        <v>0</v>
      </c>
      <c r="Y47" s="86">
        <f t="shared" si="27"/>
        <v>27811318.588790365</v>
      </c>
      <c r="Z47" s="86">
        <f>SUM(Z40:Z45)</f>
        <v>31200184.051474877</v>
      </c>
      <c r="AA47" s="86">
        <f t="shared" ref="AA47:AB47" si="30">SUM(AA40:AA45)</f>
        <v>21420708.367492773</v>
      </c>
      <c r="AB47" s="86">
        <f t="shared" si="30"/>
        <v>21420708.367492773</v>
      </c>
    </row>
    <row r="48" spans="1:28" ht="15.75" thickTop="1" x14ac:dyDescent="0.2">
      <c r="A48" s="5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83"/>
      <c r="P48" s="27"/>
      <c r="Q48" s="27"/>
      <c r="R48" s="27"/>
      <c r="S48" s="27"/>
      <c r="T48" s="27"/>
      <c r="U48" s="27"/>
      <c r="V48" s="27"/>
      <c r="W48" s="27"/>
      <c r="X48" s="27"/>
      <c r="Y48" s="83"/>
      <c r="Z48" s="83"/>
      <c r="AA48" s="83"/>
      <c r="AB48" s="83"/>
    </row>
    <row r="49" spans="1:28" x14ac:dyDescent="0.2">
      <c r="A49" s="5">
        <v>23</v>
      </c>
      <c r="B49" s="1" t="s">
        <v>161</v>
      </c>
      <c r="C49" s="27">
        <f>ROUND(+C47*'KTW-3 p8 - Cost of Cap'!$C$41,0)</f>
        <v>0</v>
      </c>
      <c r="D49" s="27">
        <f>ROUND(+D47*'KTW-3 p8 - Cost of Cap'!$C$41,0)</f>
        <v>0</v>
      </c>
      <c r="E49" s="27">
        <f>ROUND(+E47*'KTW-3 p8 - Cost of Cap'!$C$41,0)</f>
        <v>-1309</v>
      </c>
      <c r="F49" s="27">
        <f>ROUND(+F47*'KTW-3 p8 - Cost of Cap'!$C$41,0)</f>
        <v>0</v>
      </c>
      <c r="G49" s="27">
        <f>ROUND(+G47*'KTW-3 p8 - Cost of Cap'!$C$41,0)</f>
        <v>0</v>
      </c>
      <c r="H49" s="27">
        <f>ROUND(+H47*'KTW-3 p8 - Cost of Cap'!$C$41,0)</f>
        <v>81356</v>
      </c>
      <c r="I49" s="27">
        <f>ROUND(+I47*'KTW-3 p8 - Cost of Cap'!$C$41,0)</f>
        <v>0</v>
      </c>
      <c r="J49" s="27">
        <f>ROUND(+J47*'KTW-3 p8 - Cost of Cap'!$C$41,0)</f>
        <v>-36</v>
      </c>
      <c r="K49" s="27">
        <f>ROUND(+K47*'KTW-3 p8 - Cost of Cap'!$C$41,0)</f>
        <v>0</v>
      </c>
      <c r="L49" s="27">
        <f>ROUND(+L47*'KTW-3 p8 - Cost of Cap'!$C$41,0)</f>
        <v>-1829</v>
      </c>
      <c r="M49" s="27">
        <f>ROUND(+M47*'KTW-3 p8 - Cost of Cap'!$C$41,0)</f>
        <v>0</v>
      </c>
      <c r="N49" s="27"/>
      <c r="O49" s="83"/>
      <c r="P49" s="27">
        <f>ROUND(+P47*'KTW-3 p8 - Cost of Cap'!$C$41,0)</f>
        <v>0</v>
      </c>
      <c r="Q49" s="27">
        <f>ROUND(+Q47*'KTW-3 p8 - Cost of Cap'!$C$41,0)</f>
        <v>0</v>
      </c>
      <c r="R49" s="27">
        <f>ROUND(+R47*'KTW-3 p8 - Cost of Cap'!$C$41,0)</f>
        <v>0</v>
      </c>
      <c r="S49" s="27">
        <f>ROUND(+S47*'KTW-3 p8 - Cost of Cap'!$C$41,0)</f>
        <v>501444</v>
      </c>
      <c r="T49" s="27">
        <f>ROUND(+T47*'KTW-3 p8 - Cost of Cap'!$C$41,0)</f>
        <v>12977</v>
      </c>
      <c r="U49" s="27">
        <f>ROUND(+U47*'KTW-3 p8 - Cost of Cap'!$C$41,0)</f>
        <v>0</v>
      </c>
      <c r="V49" s="27">
        <f>ROUND(+V47*'KTW-3 p8 - Cost of Cap'!$C$41,0)</f>
        <v>127186</v>
      </c>
      <c r="W49" s="27"/>
      <c r="X49" s="27">
        <f>ROUND(+X47*'KTW-3 p8 - Cost of Cap'!$C$41,0)</f>
        <v>0</v>
      </c>
      <c r="Y49" s="83">
        <f>ROUND(+Y47*'KTW-3 p8 - Cost of Cap'!$C$41,0)</f>
        <v>641607</v>
      </c>
      <c r="Z49" s="83">
        <f>SUM(C49:X49)</f>
        <v>719789</v>
      </c>
      <c r="AA49" s="83">
        <f>ROUND(+AA47*'KTW-3 p8 - Cost of Cap'!$C$41,0)</f>
        <v>494176</v>
      </c>
      <c r="AB49" s="83">
        <f>AA49</f>
        <v>494176</v>
      </c>
    </row>
    <row r="50" spans="1:28" x14ac:dyDescent="0.2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83"/>
      <c r="P50" s="27"/>
      <c r="Q50" s="27"/>
      <c r="R50" s="27"/>
      <c r="S50" s="27"/>
      <c r="T50" s="27"/>
      <c r="U50" s="27"/>
      <c r="V50" s="27"/>
      <c r="W50" s="27"/>
      <c r="X50" s="27"/>
      <c r="Y50" s="83"/>
      <c r="Z50" s="83"/>
      <c r="AA50" s="83"/>
      <c r="AB50" s="83"/>
    </row>
    <row r="51" spans="1:28" ht="15.75" thickBot="1" x14ac:dyDescent="0.25">
      <c r="A51" s="5">
        <v>24</v>
      </c>
      <c r="B51" s="1" t="s">
        <v>585</v>
      </c>
      <c r="C51" s="14">
        <f>((C47*'KTW-3 p8 - Cost of Cap'!$E15)-C34)*'KTW-3 p8 - Cost of Cap'!$C39</f>
        <v>232522.38773443209</v>
      </c>
      <c r="D51" s="14">
        <f>((D47*'KTW-3 p8 - Cost of Cap'!$E15)-D34)*'KTW-3 p8 - Cost of Cap'!$C39</f>
        <v>-2366036.3335456704</v>
      </c>
      <c r="E51" s="14">
        <f>((E47*'KTW-3 p8 - Cost of Cap'!$E15)-E34)*'KTW-3 p8 - Cost of Cap'!$C39</f>
        <v>39105.046567046789</v>
      </c>
      <c r="F51" s="14">
        <f>((F47*'KTW-3 p8 - Cost of Cap'!$E15)-F34)*'KTW-3 p8 - Cost of Cap'!$C39</f>
        <v>-52642.710551998767</v>
      </c>
      <c r="G51" s="14">
        <f>((G47*'KTW-3 p8 - Cost of Cap'!$E15)-G34)*'KTW-3 p8 - Cost of Cap'!$C39</f>
        <v>-27412.583461867333</v>
      </c>
      <c r="H51" s="14">
        <f>((H47*'KTW-3 p8 - Cost of Cap'!$E15)-H34)*'KTW-3 p8 - Cost of Cap'!$C39</f>
        <v>299407.25478499365</v>
      </c>
      <c r="I51" s="14">
        <f>((I47*'KTW-3 p8 - Cost of Cap'!$E15)-I34)*'KTW-3 p8 - Cost of Cap'!$C39</f>
        <v>-296538.28587335267</v>
      </c>
      <c r="J51" s="14">
        <f>((J47*'KTW-3 p8 - Cost of Cap'!$E15)-J34)*'KTW-3 p8 - Cost of Cap'!$C39</f>
        <v>4111.0607115330404</v>
      </c>
      <c r="K51" s="14">
        <f>((K47*'KTW-3 p8 - Cost of Cap'!$E15)-K34)*'KTW-3 p8 - Cost of Cap'!$C39</f>
        <v>114770.56799999998</v>
      </c>
      <c r="L51" s="14">
        <f>((L47*'KTW-3 p8 - Cost of Cap'!$E15)-L34)*'KTW-3 p8 - Cost of Cap'!$C39</f>
        <v>-38921.321184664223</v>
      </c>
      <c r="M51" s="14">
        <f>((M47*'KTW-3 p8 - Cost of Cap'!$E15)-M34)*'KTW-3 p8 - Cost of Cap'!$C39</f>
        <v>14635.881871504471</v>
      </c>
      <c r="N51" s="14"/>
      <c r="O51" s="378">
        <f>SUM(C51:N51)</f>
        <v>-2076999.0349480435</v>
      </c>
      <c r="P51" s="14">
        <f>((P47*'KTW-3 p8 - Cost of Cap'!$E15)-P34)*'KTW-3 p8 - Cost of Cap'!$C39</f>
        <v>422198.82812144177</v>
      </c>
      <c r="Q51" s="14">
        <f>((Q47*'KTW-3 p8 - Cost of Cap'!$E15)-Q34)*'KTW-3 p8 - Cost of Cap'!$C39</f>
        <v>167445.33925909497</v>
      </c>
      <c r="R51" s="14">
        <f>((R47*'KTW-3 p8 - Cost of Cap'!$E15)-R34)*'KTW-3 p8 - Cost of Cap'!$C39</f>
        <v>320477.99088</v>
      </c>
      <c r="S51" s="14">
        <f>((S47*'KTW-3 p8 - Cost of Cap'!$E15)-S34)*'KTW-3 p8 - Cost of Cap'!$C39</f>
        <v>2790790.4051757539</v>
      </c>
      <c r="T51" s="14">
        <f>((T47*'KTW-3 p8 - Cost of Cap'!$E15)-T34)*'KTW-3 p8 - Cost of Cap'!$C39</f>
        <v>47758.060649999999</v>
      </c>
      <c r="U51" s="14">
        <f>((U47*'KTW-3 p8 - Cost of Cap'!$E15)-U34)*'KTW-3 p8 - Cost of Cap'!$C39</f>
        <v>656941.8028875778</v>
      </c>
      <c r="V51" s="14">
        <f>((V47*'KTW-3 p8 - Cost of Cap'!$E15)-V34)*'KTW-3 p8 - Cost of Cap'!$C39</f>
        <v>468074.17868396937</v>
      </c>
      <c r="W51" s="14"/>
      <c r="X51" s="14">
        <f>((X47*'KTW-3 p8 - Cost of Cap'!$E15)-X34)*'KTW-3 p8 - Cost of Cap'!$C39</f>
        <v>33018</v>
      </c>
      <c r="Y51" s="378">
        <f>SUM(P51:X51)</f>
        <v>4906704.6056578374</v>
      </c>
      <c r="Z51" s="378">
        <f>O51+Y51</f>
        <v>2829705.5707097938</v>
      </c>
      <c r="AA51" s="286">
        <f>((AA47*'KTW-3 p8 - Cost of Cap'!$E15)-AA34)*'KTW-3 p8 - Cost of Cap'!$C39</f>
        <v>3150099.1796185984</v>
      </c>
      <c r="AB51" s="378">
        <f>AA51</f>
        <v>3150099.1796185984</v>
      </c>
    </row>
    <row r="52" spans="1:28" x14ac:dyDescent="0.2">
      <c r="A52" s="88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4" spans="1:28" x14ac:dyDescent="0.2">
      <c r="S54" s="9"/>
    </row>
  </sheetData>
  <customSheetViews>
    <customSheetView guid="{A7BD13BF-7E57-44D7-9B02-43E2FA430390}" scale="90" showPageBreaks="1" showGridLines="0" fitToPage="1" printArea="1">
      <pane xSplit="2" ySplit="9" topLeftCell="P31" activePane="bottomRight" state="frozen"/>
      <selection pane="bottomRight" activeCell="O27" sqref="O27"/>
      <colBreaks count="1" manualBreakCount="1">
        <brk id="12" max="1048575" man="1"/>
      </colBreaks>
      <pageMargins left="0.77" right="0.98" top="0.5" bottom="0.5" header="0.25" footer="0.25"/>
      <printOptions horizontalCentered="1"/>
      <pageSetup scale="45" fitToWidth="2" orientation="landscape" r:id="rId1"/>
      <headerFooter alignWithMargins="0"/>
    </customSheetView>
    <customSheetView guid="{C29552AC-6B79-447F-B962-713ED43BDF1A}" scale="90" showPageBreaks="1" fitToPage="1" printArea="1">
      <pane xSplit="2" ySplit="9" topLeftCell="M10" activePane="bottomRight" state="frozen"/>
      <selection pane="bottomRight" activeCell="AA14" sqref="AA14"/>
      <colBreaks count="1" manualBreakCount="1">
        <brk id="12" max="1048575" man="1"/>
      </colBreaks>
      <pageMargins left="0.77" right="0.98" top="0.5" bottom="0.5" header="0.25" footer="0.25"/>
      <printOptions horizontalCentered="1"/>
      <pageSetup scale="43" fitToWidth="2" orientation="landscape" r:id="rId2"/>
      <headerFooter alignWithMargins="0"/>
    </customSheetView>
    <customSheetView guid="{6ED201AA-AB2E-4FE7-B06B-B07932512C4D}" scale="90" showPageBreaks="1" fitToPage="1" printArea="1">
      <pane xSplit="2" ySplit="9" topLeftCell="M10" activePane="bottomRight" state="frozen"/>
      <selection pane="bottomRight" activeCell="AA14" sqref="AA14"/>
      <colBreaks count="1" manualBreakCount="1">
        <brk id="12" max="1048575" man="1"/>
      </colBreaks>
      <pageMargins left="0.77" right="0.98" top="0.5" bottom="0.5" header="0.25" footer="0.25"/>
      <printOptions horizontalCentered="1"/>
      <pageSetup scale="45" fitToWidth="2" orientation="landscape" r:id="rId3"/>
      <headerFooter alignWithMargins="0"/>
    </customSheetView>
    <customSheetView guid="{D711E10B-9441-4991-A2CB-ED400E35790D}" scale="90" showGridLines="0" fitToPage="1">
      <pane xSplit="2" ySplit="9" topLeftCell="P10" activePane="bottomRight" state="frozen"/>
      <selection pane="bottomRight" activeCell="V27" sqref="V27"/>
      <colBreaks count="1" manualBreakCount="1">
        <brk id="12" max="1048575" man="1"/>
      </colBreaks>
      <pageMargins left="0.77" right="0.98" top="0.5" bottom="0.5" header="0.25" footer="0.25"/>
      <printOptions horizontalCentered="1"/>
      <pageSetup scale="45" fitToWidth="2" orientation="landscape" r:id="rId4"/>
      <headerFooter alignWithMargins="0"/>
    </customSheetView>
  </customSheetViews>
  <phoneticPr fontId="0" type="noConversion"/>
  <printOptions horizontalCentered="1"/>
  <pageMargins left="0.25" right="0.25" top="0.75" bottom="0.75" header="0.3" footer="0.3"/>
  <pageSetup scale="45" orientation="landscape" r:id="rId5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>
    <tabColor theme="4" tint="0.59999389629810485"/>
    <pageSetUpPr fitToPage="1"/>
  </sheetPr>
  <dimension ref="A1:AB38"/>
  <sheetViews>
    <sheetView zoomScale="90" zoomScaleNormal="90" workbookViewId="0">
      <pane xSplit="2" ySplit="9" topLeftCell="C16" activePane="bottomRight" state="frozen"/>
      <selection pane="topRight" activeCell="C1" sqref="C1"/>
      <selection pane="bottomLeft" activeCell="A10" sqref="A10"/>
      <selection pane="bottomRight" activeCell="F41" sqref="F41"/>
    </sheetView>
  </sheetViews>
  <sheetFormatPr defaultColWidth="9.140625" defaultRowHeight="15" outlineLevelCol="1" x14ac:dyDescent="0.2"/>
  <cols>
    <col min="1" max="1" width="7.42578125" style="8" customWidth="1"/>
    <col min="2" max="2" width="41.7109375" style="8" customWidth="1"/>
    <col min="3" max="13" width="13.7109375" style="8" customWidth="1"/>
    <col min="14" max="14" width="13.7109375" style="8" hidden="1" customWidth="1" outlineLevel="1"/>
    <col min="15" max="15" width="13.7109375" style="8" customWidth="1" collapsed="1"/>
    <col min="16" max="20" width="13.7109375" style="8" customWidth="1"/>
    <col min="21" max="22" width="15" style="8" customWidth="1"/>
    <col min="23" max="23" width="13.7109375" style="8" hidden="1" customWidth="1" outlineLevel="1"/>
    <col min="24" max="24" width="13.7109375" style="8" customWidth="1" collapsed="1"/>
    <col min="25" max="26" width="13.7109375" style="8" customWidth="1"/>
    <col min="27" max="27" width="15.5703125" style="8" customWidth="1"/>
    <col min="28" max="28" width="12.28515625" style="8" bestFit="1" customWidth="1"/>
    <col min="29" max="16384" width="9.140625" style="8"/>
  </cols>
  <sheetData>
    <row r="1" spans="1:28" x14ac:dyDescent="0.2">
      <c r="A1" s="1" t="s">
        <v>1</v>
      </c>
      <c r="B1" s="1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384" t="s">
        <v>593</v>
      </c>
      <c r="P1" s="89"/>
      <c r="Q1" s="89"/>
      <c r="R1" s="89"/>
      <c r="S1" s="89"/>
      <c r="T1" s="89"/>
      <c r="U1" s="89"/>
      <c r="V1" s="89"/>
      <c r="W1" s="89"/>
      <c r="X1" s="89"/>
      <c r="Y1" s="384" t="s">
        <v>594</v>
      </c>
      <c r="Z1" s="89"/>
      <c r="AA1" s="5" t="s">
        <v>611</v>
      </c>
    </row>
    <row r="2" spans="1:28" x14ac:dyDescent="0.2">
      <c r="A2" s="1" t="s">
        <v>203</v>
      </c>
      <c r="B2" s="1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384" t="s">
        <v>239</v>
      </c>
      <c r="P2" s="89"/>
      <c r="Q2" s="89"/>
      <c r="R2" s="89"/>
      <c r="S2" s="89"/>
      <c r="T2" s="89"/>
      <c r="U2" s="89"/>
      <c r="V2" s="89"/>
      <c r="W2" s="89"/>
      <c r="X2" s="89"/>
      <c r="Y2" s="384" t="s">
        <v>239</v>
      </c>
      <c r="Z2" s="89"/>
      <c r="AA2" s="384" t="s">
        <v>239</v>
      </c>
    </row>
    <row r="3" spans="1:28" x14ac:dyDescent="0.2">
      <c r="A3" s="1" t="str">
        <f>+'KTW-4,5,8 p1 - Adjust Issues'!A3</f>
        <v>Test Year Based on Twelve Months Ended September 30, 2020</v>
      </c>
      <c r="B3" s="1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8" x14ac:dyDescent="0.2">
      <c r="A4" s="1" t="s">
        <v>10</v>
      </c>
      <c r="B4" s="1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8" ht="15.75" thickBot="1" x14ac:dyDescent="0.25">
      <c r="A5" s="1"/>
      <c r="B5" s="2"/>
      <c r="C5" s="5" t="s">
        <v>14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8" x14ac:dyDescent="0.2">
      <c r="A6" s="1"/>
      <c r="B6" s="1"/>
      <c r="C6" s="5" t="s">
        <v>22</v>
      </c>
      <c r="D6" s="5" t="s">
        <v>265</v>
      </c>
      <c r="E6" s="5"/>
      <c r="F6" s="5" t="s">
        <v>240</v>
      </c>
      <c r="G6" s="5" t="s">
        <v>290</v>
      </c>
      <c r="H6" s="5" t="s">
        <v>24</v>
      </c>
      <c r="I6" s="5" t="s">
        <v>25</v>
      </c>
      <c r="J6" s="5"/>
      <c r="K6" s="5"/>
      <c r="L6" s="5"/>
      <c r="M6" s="5"/>
      <c r="N6" s="315" t="s">
        <v>560</v>
      </c>
      <c r="O6" s="76" t="s">
        <v>62</v>
      </c>
      <c r="P6" s="5"/>
      <c r="Q6" s="5" t="s">
        <v>23</v>
      </c>
      <c r="R6" s="5" t="s">
        <v>489</v>
      </c>
      <c r="S6" s="5" t="s">
        <v>441</v>
      </c>
      <c r="T6" s="5" t="s">
        <v>472</v>
      </c>
      <c r="U6" s="5" t="str">
        <f>'KTW-4,5,8 p1 - Adjust Issues'!U7</f>
        <v>EOP</v>
      </c>
      <c r="V6" s="5" t="str">
        <f>'KTW-4,5,8 p1 - Adjust Issues'!V7</f>
        <v>EOP</v>
      </c>
      <c r="W6" s="315" t="s">
        <v>560</v>
      </c>
      <c r="X6" s="5" t="s">
        <v>472</v>
      </c>
      <c r="Y6" s="76" t="s">
        <v>62</v>
      </c>
      <c r="Z6" s="76"/>
      <c r="AA6" s="5" t="s">
        <v>527</v>
      </c>
      <c r="AB6" s="377"/>
    </row>
    <row r="7" spans="1:28" x14ac:dyDescent="0.2">
      <c r="A7" s="5" t="s">
        <v>15</v>
      </c>
      <c r="B7" s="1"/>
      <c r="C7" s="5" t="s">
        <v>42</v>
      </c>
      <c r="D7" s="5" t="s">
        <v>61</v>
      </c>
      <c r="E7" s="5" t="s">
        <v>43</v>
      </c>
      <c r="F7" s="5" t="s">
        <v>256</v>
      </c>
      <c r="G7" s="5" t="s">
        <v>44</v>
      </c>
      <c r="H7" s="5" t="s">
        <v>45</v>
      </c>
      <c r="I7" s="5" t="s">
        <v>295</v>
      </c>
      <c r="J7" s="5" t="s">
        <v>46</v>
      </c>
      <c r="K7" s="5" t="s">
        <v>247</v>
      </c>
      <c r="L7" s="5" t="s">
        <v>202</v>
      </c>
      <c r="M7" s="5" t="s">
        <v>517</v>
      </c>
      <c r="N7" s="315" t="s">
        <v>561</v>
      </c>
      <c r="O7" s="79" t="s">
        <v>291</v>
      </c>
      <c r="P7" s="5" t="s">
        <v>23</v>
      </c>
      <c r="Q7" s="5" t="s">
        <v>226</v>
      </c>
      <c r="R7" s="5" t="s">
        <v>490</v>
      </c>
      <c r="S7" s="5" t="s">
        <v>45</v>
      </c>
      <c r="T7" s="5" t="s">
        <v>173</v>
      </c>
      <c r="U7" s="5" t="str">
        <f>'KTW-4,5,8 p1 - Adjust Issues'!U8</f>
        <v>Depreciation Exp.</v>
      </c>
      <c r="V7" s="5" t="str">
        <f>'KTW-4,5,8 p1 - Adjust Issues'!V8</f>
        <v>Rate Base</v>
      </c>
      <c r="W7" s="315" t="s">
        <v>561</v>
      </c>
      <c r="X7" s="5" t="s">
        <v>473</v>
      </c>
      <c r="Y7" s="79" t="s">
        <v>292</v>
      </c>
      <c r="Z7" s="79" t="s">
        <v>521</v>
      </c>
      <c r="AA7" s="5" t="s">
        <v>528</v>
      </c>
      <c r="AB7" s="79" t="s">
        <v>522</v>
      </c>
    </row>
    <row r="8" spans="1:28" ht="15.75" thickBot="1" x14ac:dyDescent="0.25">
      <c r="A8" s="7" t="s">
        <v>31</v>
      </c>
      <c r="B8" s="7" t="s">
        <v>168</v>
      </c>
      <c r="C8" s="7" t="s">
        <v>60</v>
      </c>
      <c r="D8" s="7" t="s">
        <v>26</v>
      </c>
      <c r="E8" s="7" t="s">
        <v>26</v>
      </c>
      <c r="F8" s="7" t="s">
        <v>26</v>
      </c>
      <c r="G8" s="7" t="s">
        <v>26</v>
      </c>
      <c r="H8" s="7" t="s">
        <v>26</v>
      </c>
      <c r="I8" s="7" t="s">
        <v>26</v>
      </c>
      <c r="J8" s="7" t="s">
        <v>26</v>
      </c>
      <c r="K8" s="7" t="s">
        <v>26</v>
      </c>
      <c r="L8" s="7" t="s">
        <v>26</v>
      </c>
      <c r="M8" s="353" t="s">
        <v>26</v>
      </c>
      <c r="N8" s="354" t="s">
        <v>26</v>
      </c>
      <c r="O8" s="80" t="s">
        <v>32</v>
      </c>
      <c r="P8" s="7" t="s">
        <v>26</v>
      </c>
      <c r="Q8" s="7" t="s">
        <v>26</v>
      </c>
      <c r="R8" s="7" t="s">
        <v>26</v>
      </c>
      <c r="S8" s="7" t="s">
        <v>26</v>
      </c>
      <c r="T8" s="7" t="s">
        <v>26</v>
      </c>
      <c r="U8" s="405" t="str">
        <f>'KTW-4,5,8 p1 - Adjust Issues'!U9</f>
        <v>Adjustment</v>
      </c>
      <c r="V8" s="405" t="str">
        <f>'KTW-4,5,8 p1 - Adjust Issues'!V9</f>
        <v>Adjustment</v>
      </c>
      <c r="W8" s="354" t="s">
        <v>26</v>
      </c>
      <c r="X8" s="7" t="s">
        <v>26</v>
      </c>
      <c r="Y8" s="80" t="s">
        <v>32</v>
      </c>
      <c r="Z8" s="80" t="s">
        <v>32</v>
      </c>
      <c r="AA8" s="280" t="s">
        <v>26</v>
      </c>
      <c r="AB8" s="79" t="s">
        <v>32</v>
      </c>
    </row>
    <row r="9" spans="1:28" x14ac:dyDescent="0.2">
      <c r="A9" s="5"/>
      <c r="B9" s="1"/>
      <c r="C9" s="5" t="str">
        <f>'KTW-4,5,8 p1 - Adjust Issues'!C10</f>
        <v>(a)</v>
      </c>
      <c r="D9" s="5" t="str">
        <f>'KTW-4,5,8 p1 - Adjust Issues'!D10</f>
        <v>(b)</v>
      </c>
      <c r="E9" s="5" t="str">
        <f>'KTW-4,5,8 p1 - Adjust Issues'!E10</f>
        <v>(c)</v>
      </c>
      <c r="F9" s="5" t="str">
        <f>'KTW-4,5,8 p1 - Adjust Issues'!F10</f>
        <v>(d)</v>
      </c>
      <c r="G9" s="5" t="str">
        <f>'KTW-4,5,8 p1 - Adjust Issues'!G10</f>
        <v>(e)</v>
      </c>
      <c r="H9" s="5" t="str">
        <f>'KTW-4,5,8 p1 - Adjust Issues'!H10</f>
        <v>(f)</v>
      </c>
      <c r="I9" s="5" t="str">
        <f>'KTW-4,5,8 p1 - Adjust Issues'!I10</f>
        <v>(g)</v>
      </c>
      <c r="J9" s="5" t="str">
        <f>'KTW-4,5,8 p1 - Adjust Issues'!J10</f>
        <v>(h)</v>
      </c>
      <c r="K9" s="5" t="str">
        <f>'KTW-4,5,8 p1 - Adjust Issues'!K10</f>
        <v>(i)</v>
      </c>
      <c r="L9" s="5" t="str">
        <f>'KTW-4,5,8 p1 - Adjust Issues'!L10</f>
        <v>(j)</v>
      </c>
      <c r="M9" s="5" t="str">
        <f>'KTW-4,5,8 p1 - Adjust Issues'!M10</f>
        <v>(k)</v>
      </c>
      <c r="N9" s="5">
        <f>'KTW-4,5,8 p1 - Adjust Issues'!N10</f>
        <v>0</v>
      </c>
      <c r="O9" s="5" t="str">
        <f>'KTW-4,5,8 p1 - Adjust Issues'!O10</f>
        <v>(l)</v>
      </c>
      <c r="P9" s="5" t="str">
        <f>'KTW-4,5,8 p1 - Adjust Issues'!P10</f>
        <v>(m)</v>
      </c>
      <c r="Q9" s="5" t="str">
        <f>'KTW-4,5,8 p1 - Adjust Issues'!Q10</f>
        <v>(n)</v>
      </c>
      <c r="R9" s="5" t="str">
        <f>'KTW-4,5,8 p1 - Adjust Issues'!R10</f>
        <v>(o)</v>
      </c>
      <c r="S9" s="5" t="str">
        <f>'KTW-4,5,8 p1 - Adjust Issues'!S10</f>
        <v>(p)</v>
      </c>
      <c r="T9" s="5" t="str">
        <f>'KTW-4,5,8 p1 - Adjust Issues'!T10</f>
        <v>(q)</v>
      </c>
      <c r="U9" s="5" t="str">
        <f>'KTW-4,5,8 p1 - Adjust Issues'!U10</f>
        <v>(r)</v>
      </c>
      <c r="V9" s="5" t="str">
        <f>'KTW-4,5,8 p1 - Adjust Issues'!V10</f>
        <v>(s)</v>
      </c>
      <c r="W9" s="5">
        <f>'KTW-4,5,8 p1 - Adjust Issues'!W10</f>
        <v>0</v>
      </c>
      <c r="X9" s="5" t="str">
        <f>'KTW-4,5,8 p1 - Adjust Issues'!X10</f>
        <v>(t)</v>
      </c>
      <c r="Y9" s="5" t="str">
        <f>'KTW-4,5,8 p1 - Adjust Issues'!Y10</f>
        <v>(u)</v>
      </c>
      <c r="Z9" s="5" t="str">
        <f>'KTW-4,5,8 p1 - Adjust Issues'!Z10</f>
        <v>(v)</v>
      </c>
      <c r="AA9" s="5" t="str">
        <f>'KTW-4,5,8 p1 - Adjust Issues'!AA10</f>
        <v>(w)</v>
      </c>
      <c r="AB9" s="76" t="str">
        <f>'KTW-4,5,8 p1 - Adjust Issues'!AB10</f>
        <v>(x)</v>
      </c>
    </row>
    <row r="10" spans="1:28" x14ac:dyDescent="0.2">
      <c r="A10" s="5"/>
      <c r="B10" s="1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83"/>
      <c r="P10" s="27"/>
      <c r="Q10" s="27"/>
      <c r="R10" s="27"/>
      <c r="S10" s="27"/>
      <c r="T10" s="27"/>
      <c r="U10" s="27"/>
      <c r="V10" s="27"/>
      <c r="W10" s="27"/>
      <c r="X10" s="27"/>
      <c r="Y10" s="83"/>
      <c r="Z10" s="83"/>
      <c r="AB10" s="81"/>
    </row>
    <row r="11" spans="1:28" x14ac:dyDescent="0.2">
      <c r="A11" s="5">
        <v>1</v>
      </c>
      <c r="B11" s="1" t="s">
        <v>169</v>
      </c>
      <c r="C11" s="27">
        <f>'KTW-4,5,8 p1 - Adjust Issues'!C17</f>
        <v>4361865.1630657017</v>
      </c>
      <c r="D11" s="27">
        <f>'KTW-4,5,8 p1 - Adjust Issues'!D17</f>
        <v>2363456.8723413325</v>
      </c>
      <c r="E11" s="27">
        <f>'KTW-4,5,8 p1 - Adjust Issues'!E17</f>
        <v>0</v>
      </c>
      <c r="F11" s="27">
        <f>'KTW-4,5,8 p1 - Adjust Issues'!F17</f>
        <v>0</v>
      </c>
      <c r="G11" s="27">
        <f>'KTW-4,5,8 p1 - Adjust Issues'!G17</f>
        <v>0</v>
      </c>
      <c r="H11" s="27">
        <f>'KTW-4,5,8 p1 - Adjust Issues'!H17</f>
        <v>0</v>
      </c>
      <c r="I11" s="27">
        <f>'KTW-4,5,8 p1 - Adjust Issues'!I17</f>
        <v>0</v>
      </c>
      <c r="J11" s="27">
        <f>'KTW-4,5,8 p1 - Adjust Issues'!J17</f>
        <v>0</v>
      </c>
      <c r="K11" s="27">
        <f>'KTW-4,5,8 p1 - Adjust Issues'!K17</f>
        <v>0</v>
      </c>
      <c r="L11" s="27">
        <f>'KTW-4,5,8 p1 - Adjust Issues'!L17</f>
        <v>0</v>
      </c>
      <c r="M11" s="27">
        <f>'KTW-4,5,8 p1 - Adjust Issues'!M17</f>
        <v>0</v>
      </c>
      <c r="N11" s="27">
        <f>'KTW-4,5,8 p1 - Adjust Issues'!N17</f>
        <v>0</v>
      </c>
      <c r="O11" s="83">
        <f>SUM(C11:N11)</f>
        <v>6725322.0354070347</v>
      </c>
      <c r="P11" s="27">
        <f>'KTW-4,5,8 p1 - Adjust Issues'!P17</f>
        <v>0</v>
      </c>
      <c r="Q11" s="27">
        <f>'KTW-4,5,8 p1 - Adjust Issues'!Q17</f>
        <v>0</v>
      </c>
      <c r="R11" s="27">
        <f>'KTW-4,5,8 p1 - Adjust Issues'!R17</f>
        <v>0</v>
      </c>
      <c r="S11" s="27">
        <f>'KTW-4,5,8 p1 - Adjust Issues'!S17</f>
        <v>0</v>
      </c>
      <c r="T11" s="27">
        <f>'KTW-4,5,8 p1 - Adjust Issues'!T17</f>
        <v>0</v>
      </c>
      <c r="U11" s="27">
        <f>'KTW-4,5,8 p1 - Adjust Issues'!U17</f>
        <v>0</v>
      </c>
      <c r="V11" s="27">
        <f>'KTW-4,5,8 p1 - Adjust Issues'!V17</f>
        <v>0</v>
      </c>
      <c r="W11" s="27">
        <f>'KTW-4,5,8 p1 - Adjust Issues'!W17</f>
        <v>0</v>
      </c>
      <c r="X11" s="27">
        <f>'KTW-4,5,8 p1 - Adjust Issues'!X17</f>
        <v>0</v>
      </c>
      <c r="Y11" s="83">
        <f>'KTW-4,5,8 p1 - Adjust Issues'!Y17</f>
        <v>0</v>
      </c>
      <c r="Z11" s="83">
        <f>'KTW-4,5,8 p1 - Adjust Issues'!Z17</f>
        <v>6725322.0354070347</v>
      </c>
      <c r="AA11" s="27">
        <f>'KTW-4,5,8 p1 - Adjust Issues'!AA17</f>
        <v>0</v>
      </c>
      <c r="AB11" s="83">
        <f>'KTW-4,5,8 p1 - Adjust Issues'!AB17</f>
        <v>0</v>
      </c>
    </row>
    <row r="12" spans="1:28" x14ac:dyDescent="0.2">
      <c r="A12" s="5">
        <f>+A11+1</f>
        <v>2</v>
      </c>
      <c r="B12" s="3" t="s">
        <v>205</v>
      </c>
      <c r="C12" s="27">
        <f>'KTW-4,5,8 p1 - Adjust Issues'!C24+'KTW-4,5,8 p1 - Adjust Issues'!C28+'KTW-4,5,8 p1 - Adjust Issues'!C29</f>
        <v>4584722.4558563251</v>
      </c>
      <c r="D12" s="27">
        <f>'KTW-4,5,8 p1 - Adjust Issues'!D24+'KTW-4,5,8 p1 - Adjust Issues'!D28+'KTW-4,5,8 p1 - Adjust Issues'!D29</f>
        <v>95767.272467270799</v>
      </c>
      <c r="E12" s="27">
        <f>'KTW-4,5,8 p1 - Adjust Issues'!E24+'KTW-4,5,8 p1 - Adjust Issues'!E28+'KTW-4,5,8 p1 - Adjust Issues'!E29</f>
        <v>42096.985356000201</v>
      </c>
      <c r="F12" s="27">
        <f>'KTW-4,5,8 p1 - Adjust Issues'!F24+'KTW-4,5,8 p1 - Adjust Issues'!F28+'KTW-4,5,8 p1 - Adjust Issues'!F29</f>
        <v>-50455.099999999067</v>
      </c>
      <c r="G12" s="27">
        <f>'KTW-4,5,8 p1 - Adjust Issues'!G24+'KTW-4,5,8 p1 - Adjust Issues'!G28+'KTW-4,5,8 p1 - Adjust Issues'!G29</f>
        <v>-26272.787344681186</v>
      </c>
      <c r="H12" s="27">
        <f>'KTW-4,5,8 p1 - Adjust Issues'!H24+'KTW-4,5,8 p1 - Adjust Issues'!H28+'KTW-4,5,8 p1 - Adjust Issues'!H29</f>
        <v>0</v>
      </c>
      <c r="I12" s="27">
        <f>'KTW-4,5,8 p1 - Adjust Issues'!I24+'KTW-4,5,8 p1 - Adjust Issues'!I28+'KTW-4,5,8 p1 - Adjust Issues'!I29</f>
        <v>-284212.74689059961</v>
      </c>
      <c r="J12" s="27">
        <f>'KTW-4,5,8 p1 - Adjust Issues'!J24+'KTW-4,5,8 p1 - Adjust Issues'!J28+'KTW-4,5,8 p1 - Adjust Issues'!J29</f>
        <v>4066.315266666667</v>
      </c>
      <c r="K12" s="27">
        <f>'KTW-4,5,8 p1 - Adjust Issues'!K24+'KTW-4,5,8 p1 - Adjust Issues'!K28+'KTW-4,5,8 p1 - Adjust Issues'!K29</f>
        <v>110000</v>
      </c>
      <c r="L12" s="27">
        <f>'KTW-4,5,8 p1 - Adjust Issues'!L24+'KTW-4,5,8 p1 - Adjust Issues'!L28+'KTW-4,5,8 p1 - Adjust Issues'!L29</f>
        <v>-30850.694657576569</v>
      </c>
      <c r="M12" s="27">
        <f>'KTW-4,5,8 p1 - Adjust Issues'!M24+'KTW-4,5,8 p1 - Adjust Issues'!M28+'KTW-4,5,8 p1 - Adjust Issues'!M29</f>
        <v>14027.744708571439</v>
      </c>
      <c r="N12" s="27">
        <f>'KTW-4,5,8 p1 - Adjust Issues'!N24+'KTW-4,5,8 p1 - Adjust Issues'!N28+'KTW-4,5,8 p1 - Adjust Issues'!N29</f>
        <v>0</v>
      </c>
      <c r="O12" s="83">
        <f t="shared" ref="O12:O15" si="0">SUM(C12:N12)</f>
        <v>4458889.4447619785</v>
      </c>
      <c r="P12" s="27">
        <f>'KTW-4,5,8 p1 - Adjust Issues'!P24+'KTW-4,5,8 p1 - Adjust Issues'!P28+'KTW-4,5,8 p1 - Adjust Issues'!P29</f>
        <v>404649.229845419</v>
      </c>
      <c r="Q12" s="27">
        <f>'KTW-4,5,8 p1 - Adjust Issues'!Q24+'KTW-4,5,8 p1 - Adjust Issues'!Q28+'KTW-4,5,8 p1 - Adjust Issues'!Q29</f>
        <v>160485.37517346221</v>
      </c>
      <c r="R12" s="27">
        <f>'KTW-4,5,8 p1 - Adjust Issues'!R24+'KTW-4,5,8 p1 - Adjust Issues'!R28+'KTW-4,5,8 p1 - Adjust Issues'!R29</f>
        <v>307157</v>
      </c>
      <c r="S12" s="27">
        <f>'KTW-4,5,8 p1 - Adjust Issues'!S24+'KTW-4,5,8 p1 - Adjust Issues'!S28+'KTW-4,5,8 p1 - Adjust Issues'!S29</f>
        <v>0</v>
      </c>
      <c r="T12" s="27">
        <f>'KTW-4,5,8 p1 - Adjust Issues'!T24+'KTW-4,5,8 p1 - Adjust Issues'!T28+'KTW-4,5,8 p1 - Adjust Issues'!T29</f>
        <v>0</v>
      </c>
      <c r="U12" s="27">
        <f>'KTW-4,5,8 p1 - Adjust Issues'!U24+'KTW-4,5,8 p1 - Adjust Issues'!U28+'KTW-4,5,8 p1 - Adjust Issues'!U29</f>
        <v>0</v>
      </c>
      <c r="V12" s="27">
        <f>'KTW-4,5,8 p1 - Adjust Issues'!V24+'KTW-4,5,8 p1 - Adjust Issues'!V28+'KTW-4,5,8 p1 - Adjust Issues'!V29</f>
        <v>0</v>
      </c>
      <c r="W12" s="27">
        <f>'KTW-4,5,8 p1 - Adjust Issues'!W24+'KTW-4,5,8 p1 - Adjust Issues'!W28+'KTW-4,5,8 p1 - Adjust Issues'!W29</f>
        <v>0</v>
      </c>
      <c r="X12" s="27">
        <f>'KTW-4,5,8 p1 - Adjust Issues'!X24+'KTW-4,5,8 p1 - Adjust Issues'!X28+'KTW-4,5,8 p1 - Adjust Issues'!X29</f>
        <v>0</v>
      </c>
      <c r="Y12" s="83">
        <f>SUM(P12:X12)</f>
        <v>872291.60501888115</v>
      </c>
      <c r="Z12" s="83">
        <f>'KTW-4,5,8 p1 - Adjust Issues'!Z24+'KTW-4,5,8 p1 - Adjust Issues'!Z28+'KTW-4,5,8 p1 - Adjust Issues'!Z29</f>
        <v>5331181.0497808596</v>
      </c>
      <c r="AA12" s="27">
        <f>'KTW-4,5,8 p1 - Adjust Issues'!AA24+'KTW-4,5,8 p1 - Adjust Issues'!AA28+'KTW-4,5,8 p1 - Adjust Issues'!AA29</f>
        <v>459931.69999999984</v>
      </c>
      <c r="AB12" s="83">
        <f>'KTW-4,5,8 p1 - Adjust Issues'!AB24+'KTW-4,5,8 p1 - Adjust Issues'!AB28+'KTW-4,5,8 p1 - Adjust Issues'!AB29</f>
        <v>459931.69999999984</v>
      </c>
    </row>
    <row r="13" spans="1:28" x14ac:dyDescent="0.2">
      <c r="A13" s="5">
        <f>+A12+1</f>
        <v>3</v>
      </c>
      <c r="B13" s="1" t="s">
        <v>170</v>
      </c>
      <c r="C13" s="27">
        <f>'KTW-4,5,8 p1 - Adjust Issues'!C30</f>
        <v>0</v>
      </c>
      <c r="D13" s="27">
        <f>'KTW-4,5,8 p1 - Adjust Issues'!D30</f>
        <v>0</v>
      </c>
      <c r="E13" s="27">
        <f>'KTW-4,5,8 p1 - Adjust Issues'!E30</f>
        <v>0</v>
      </c>
      <c r="F13" s="27">
        <f>'KTW-4,5,8 p1 - Adjust Issues'!F30</f>
        <v>0</v>
      </c>
      <c r="G13" s="27">
        <f>'KTW-4,5,8 p1 - Adjust Issues'!G30</f>
        <v>0</v>
      </c>
      <c r="H13" s="27">
        <f>'KTW-4,5,8 p1 - Adjust Issues'!H30</f>
        <v>0</v>
      </c>
      <c r="I13" s="27">
        <f>'KTW-4,5,8 p1 - Adjust Issues'!I30</f>
        <v>0</v>
      </c>
      <c r="J13" s="27">
        <f>'KTW-4,5,8 p1 - Adjust Issues'!J30</f>
        <v>0</v>
      </c>
      <c r="K13" s="27">
        <f>'KTW-4,5,8 p1 - Adjust Issues'!K30</f>
        <v>0</v>
      </c>
      <c r="L13" s="27">
        <f>'KTW-4,5,8 p1 - Adjust Issues'!L30</f>
        <v>0</v>
      </c>
      <c r="M13" s="27">
        <f>'KTW-4,5,8 p1 - Adjust Issues'!M30</f>
        <v>0</v>
      </c>
      <c r="N13" s="27">
        <f>'KTW-4,5,8 p1 - Adjust Issues'!N30</f>
        <v>0</v>
      </c>
      <c r="O13" s="83">
        <f t="shared" si="0"/>
        <v>0</v>
      </c>
      <c r="P13" s="27">
        <f>'KTW-4,5,8 p1 - Adjust Issues'!P30</f>
        <v>0</v>
      </c>
      <c r="Q13" s="27">
        <f>'KTW-4,5,8 p1 - Adjust Issues'!Q30</f>
        <v>0</v>
      </c>
      <c r="R13" s="27">
        <f>'KTW-4,5,8 p1 - Adjust Issues'!R30</f>
        <v>0</v>
      </c>
      <c r="S13" s="27">
        <f>'KTW-4,5,8 p1 - Adjust Issues'!S30</f>
        <v>906066.07278298936</v>
      </c>
      <c r="T13" s="27">
        <f>'KTW-4,5,8 p1 - Adjust Issues'!T30</f>
        <v>0</v>
      </c>
      <c r="U13" s="27">
        <f>'KTW-4,5,8 p1 - Adjust Issues'!U30</f>
        <v>629634.86844113655</v>
      </c>
      <c r="V13" s="27">
        <f>'KTW-4,5,8 p1 - Adjust Issues'!V30</f>
        <v>0</v>
      </c>
      <c r="W13" s="27">
        <f>'KTW-4,5,8 p1 - Adjust Issues'!W30</f>
        <v>0</v>
      </c>
      <c r="X13" s="27">
        <f>'KTW-4,5,8 p1 - Adjust Issues'!X30</f>
        <v>0</v>
      </c>
      <c r="Y13" s="83">
        <f>SUM(P13:X13)</f>
        <v>1535700.9412241259</v>
      </c>
      <c r="Z13" s="83">
        <f>'KTW-4,5,8 p1 - Adjust Issues'!Z30</f>
        <v>1535700.9412241259</v>
      </c>
      <c r="AA13" s="27">
        <f>'KTW-4,5,8 p1 - Adjust Issues'!AA30</f>
        <v>816145.51874545321</v>
      </c>
      <c r="AB13" s="83">
        <f>'KTW-4,5,8 p1 - Adjust Issues'!AB30</f>
        <v>816145.51874545321</v>
      </c>
    </row>
    <row r="14" spans="1:28" x14ac:dyDescent="0.2">
      <c r="A14" s="5">
        <f>+A13+1</f>
        <v>4</v>
      </c>
      <c r="B14" s="1" t="s">
        <v>171</v>
      </c>
      <c r="C14" s="27">
        <f>'KTW-4,5,8 p1 - Adjust Issues'!C49</f>
        <v>0</v>
      </c>
      <c r="D14" s="27">
        <f>'KTW-4,5,8 p1 - Adjust Issues'!D49</f>
        <v>0</v>
      </c>
      <c r="E14" s="27">
        <f>'KTW-4,5,8 p1 - Adjust Issues'!E49</f>
        <v>-1309</v>
      </c>
      <c r="F14" s="27">
        <f>'KTW-4,5,8 p1 - Adjust Issues'!F49</f>
        <v>0</v>
      </c>
      <c r="G14" s="27">
        <f>'KTW-4,5,8 p1 - Adjust Issues'!G49</f>
        <v>0</v>
      </c>
      <c r="H14" s="27">
        <f>'KTW-4,5,8 p1 - Adjust Issues'!H49</f>
        <v>81356</v>
      </c>
      <c r="I14" s="27">
        <f>'KTW-4,5,8 p1 - Adjust Issues'!I49</f>
        <v>0</v>
      </c>
      <c r="J14" s="27">
        <f>'KTW-4,5,8 p1 - Adjust Issues'!J49</f>
        <v>-36</v>
      </c>
      <c r="K14" s="27">
        <f>'KTW-4,5,8 p1 - Adjust Issues'!K49</f>
        <v>0</v>
      </c>
      <c r="L14" s="27">
        <f>'KTW-4,5,8 p1 - Adjust Issues'!L49</f>
        <v>-1829</v>
      </c>
      <c r="M14" s="27">
        <f>'KTW-4,5,8 p1 - Adjust Issues'!M49</f>
        <v>0</v>
      </c>
      <c r="N14" s="27">
        <f>'KTW-4,5,8 p1 - Adjust Issues'!N49</f>
        <v>0</v>
      </c>
      <c r="O14" s="83">
        <f t="shared" si="0"/>
        <v>78182</v>
      </c>
      <c r="P14" s="27">
        <f>'KTW-4,5,8 p1 - Adjust Issues'!P49</f>
        <v>0</v>
      </c>
      <c r="Q14" s="27">
        <f>'KTW-4,5,8 p1 - Adjust Issues'!Q49</f>
        <v>0</v>
      </c>
      <c r="R14" s="27">
        <f>'KTW-4,5,8 p1 - Adjust Issues'!R49</f>
        <v>0</v>
      </c>
      <c r="S14" s="27">
        <f>'KTW-4,5,8 p1 - Adjust Issues'!S49</f>
        <v>501444</v>
      </c>
      <c r="T14" s="27">
        <f>'KTW-4,5,8 p1 - Adjust Issues'!T49</f>
        <v>12977</v>
      </c>
      <c r="U14" s="27">
        <f>'KTW-4,5,8 p1 - Adjust Issues'!U49</f>
        <v>0</v>
      </c>
      <c r="V14" s="27">
        <f>'KTW-4,5,8 p1 - Adjust Issues'!V49</f>
        <v>127186</v>
      </c>
      <c r="W14" s="27">
        <f>'KTW-4,5,8 p1 - Adjust Issues'!W49</f>
        <v>0</v>
      </c>
      <c r="X14" s="27">
        <f>'KTW-4,5,8 p1 - Adjust Issues'!X49</f>
        <v>0</v>
      </c>
      <c r="Y14" s="83">
        <f>SUM(P14:X14)</f>
        <v>641607</v>
      </c>
      <c r="Z14" s="83">
        <f>'KTW-4,5,8 p1 - Adjust Issues'!Z49</f>
        <v>719789</v>
      </c>
      <c r="AA14" s="27">
        <f>'KTW-4,5,8 p1 - Adjust Issues'!AA49</f>
        <v>494176</v>
      </c>
      <c r="AB14" s="83">
        <f>'KTW-4,5,8 p1 - Adjust Issues'!AB49</f>
        <v>494176</v>
      </c>
    </row>
    <row r="15" spans="1:28" x14ac:dyDescent="0.2">
      <c r="A15" s="5">
        <f>+A14+1</f>
        <v>5</v>
      </c>
      <c r="B15" s="1" t="s">
        <v>172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83">
        <f t="shared" si="0"/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83">
        <f>SUM(P15:X15)</f>
        <v>0</v>
      </c>
      <c r="Z15" s="83">
        <v>0</v>
      </c>
      <c r="AA15" s="27">
        <v>0</v>
      </c>
      <c r="AB15" s="83">
        <v>0</v>
      </c>
    </row>
    <row r="16" spans="1:28" x14ac:dyDescent="0.2">
      <c r="B16" s="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83"/>
      <c r="P16" s="27"/>
      <c r="Q16" s="27"/>
      <c r="R16" s="27"/>
      <c r="S16" s="27"/>
      <c r="T16" s="27"/>
      <c r="U16" s="27"/>
      <c r="V16" s="27"/>
      <c r="W16" s="27"/>
      <c r="X16" s="27"/>
      <c r="Y16" s="83"/>
      <c r="Z16" s="83"/>
      <c r="AA16" s="27"/>
      <c r="AB16" s="83"/>
    </row>
    <row r="17" spans="1:28" x14ac:dyDescent="0.2">
      <c r="A17" s="5">
        <f>+A15+1</f>
        <v>6</v>
      </c>
      <c r="B17" s="1" t="s">
        <v>140</v>
      </c>
      <c r="C17" s="27">
        <f t="shared" ref="C17:L17" si="1">+C11-C12-C13-C14-C15</f>
        <v>-222857.29279062338</v>
      </c>
      <c r="D17" s="27">
        <f t="shared" si="1"/>
        <v>2267689.5998740615</v>
      </c>
      <c r="E17" s="27">
        <f t="shared" si="1"/>
        <v>-40787.985356000201</v>
      </c>
      <c r="F17" s="27">
        <f t="shared" si="1"/>
        <v>50455.099999999067</v>
      </c>
      <c r="G17" s="27">
        <f t="shared" si="1"/>
        <v>26272.787344681186</v>
      </c>
      <c r="H17" s="27">
        <f t="shared" si="1"/>
        <v>-81356</v>
      </c>
      <c r="I17" s="27">
        <f t="shared" si="1"/>
        <v>284212.74689059961</v>
      </c>
      <c r="J17" s="27">
        <f t="shared" si="1"/>
        <v>-4030.315266666667</v>
      </c>
      <c r="K17" s="27">
        <f t="shared" si="1"/>
        <v>-110000</v>
      </c>
      <c r="L17" s="27">
        <f t="shared" si="1"/>
        <v>32679.694657576569</v>
      </c>
      <c r="M17" s="27">
        <f t="shared" ref="M17" si="2">+M11-M12-M13-M14-M15</f>
        <v>-14027.744708571439</v>
      </c>
      <c r="N17" s="27">
        <f t="shared" ref="N17:O17" si="3">+N11-N12-N13-N14-N15</f>
        <v>0</v>
      </c>
      <c r="O17" s="83">
        <f t="shared" si="3"/>
        <v>2188250.5906450562</v>
      </c>
      <c r="P17" s="27">
        <f t="shared" ref="P17:T17" si="4">+P11-P12-P13-P14-P15</f>
        <v>-404649.229845419</v>
      </c>
      <c r="Q17" s="27">
        <f t="shared" si="4"/>
        <v>-160485.37517346221</v>
      </c>
      <c r="R17" s="27">
        <f t="shared" si="4"/>
        <v>-307157</v>
      </c>
      <c r="S17" s="27">
        <f t="shared" si="4"/>
        <v>-1407510.0727829894</v>
      </c>
      <c r="T17" s="27">
        <f t="shared" si="4"/>
        <v>-12977</v>
      </c>
      <c r="U17" s="27">
        <f t="shared" ref="U17:V17" si="5">+U11-U12-U13-U14-U15</f>
        <v>-629634.86844113655</v>
      </c>
      <c r="V17" s="27">
        <f t="shared" si="5"/>
        <v>-127186</v>
      </c>
      <c r="W17" s="27">
        <f t="shared" ref="W17:X17" si="6">+W11-W12-W13-W14-W15</f>
        <v>0</v>
      </c>
      <c r="X17" s="27">
        <f t="shared" si="6"/>
        <v>0</v>
      </c>
      <c r="Y17" s="83">
        <f t="shared" ref="Y17:AB17" si="7">+Y11-Y12-Y13-Y14-Y15</f>
        <v>-3049599.5462430073</v>
      </c>
      <c r="Z17" s="83">
        <f t="shared" si="7"/>
        <v>-861348.95559795084</v>
      </c>
      <c r="AA17" s="27">
        <f t="shared" si="7"/>
        <v>-1770253.2187454531</v>
      </c>
      <c r="AB17" s="83">
        <f t="shared" si="7"/>
        <v>-1770253.2187454531</v>
      </c>
    </row>
    <row r="18" spans="1:28" x14ac:dyDescent="0.2">
      <c r="B18" s="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91"/>
      <c r="P18" s="22"/>
      <c r="Q18" s="22"/>
      <c r="R18" s="22"/>
      <c r="S18" s="22"/>
      <c r="T18" s="22"/>
      <c r="U18" s="22"/>
      <c r="V18" s="22"/>
      <c r="W18" s="22"/>
      <c r="X18" s="22"/>
      <c r="Y18" s="291"/>
      <c r="Z18" s="291"/>
      <c r="AA18" s="22"/>
      <c r="AB18" s="291"/>
    </row>
    <row r="19" spans="1:28" x14ac:dyDescent="0.2">
      <c r="A19" s="5">
        <f>+A17+1</f>
        <v>7</v>
      </c>
      <c r="B19" s="1" t="s">
        <v>439</v>
      </c>
      <c r="C19" s="27">
        <f>ROUND(+C17*$C$32,0)</f>
        <v>-46800</v>
      </c>
      <c r="D19" s="27">
        <f t="shared" ref="D19:S19" si="8">ROUND(+D17*$C$32,0)</f>
        <v>476215</v>
      </c>
      <c r="E19" s="27">
        <f t="shared" si="8"/>
        <v>-8565</v>
      </c>
      <c r="F19" s="27">
        <f t="shared" si="8"/>
        <v>10596</v>
      </c>
      <c r="G19" s="27">
        <f t="shared" si="8"/>
        <v>5517</v>
      </c>
      <c r="H19" s="27">
        <f t="shared" si="8"/>
        <v>-17085</v>
      </c>
      <c r="I19" s="27">
        <f t="shared" si="8"/>
        <v>59685</v>
      </c>
      <c r="J19" s="27">
        <f t="shared" si="8"/>
        <v>-846</v>
      </c>
      <c r="K19" s="27">
        <f t="shared" si="8"/>
        <v>-23100</v>
      </c>
      <c r="L19" s="27">
        <f t="shared" si="8"/>
        <v>6863</v>
      </c>
      <c r="M19" s="27">
        <f t="shared" ref="M19" si="9">ROUND(+M17*$C$32,0)</f>
        <v>-2946</v>
      </c>
      <c r="N19" s="27">
        <f t="shared" ref="N19:O19" si="10">ROUND(+N17*$C$32,0)</f>
        <v>0</v>
      </c>
      <c r="O19" s="83">
        <f t="shared" si="10"/>
        <v>459533</v>
      </c>
      <c r="P19" s="27">
        <f>ROUND(+P17*$C$32,0)</f>
        <v>-84976</v>
      </c>
      <c r="Q19" s="27">
        <f t="shared" si="8"/>
        <v>-33702</v>
      </c>
      <c r="R19" s="27">
        <f t="shared" si="8"/>
        <v>-64503</v>
      </c>
      <c r="S19" s="27">
        <f t="shared" si="8"/>
        <v>-295577</v>
      </c>
      <c r="T19" s="27">
        <f>ROUND(+T17*$C$32,0)</f>
        <v>-2725</v>
      </c>
      <c r="U19" s="27">
        <f t="shared" ref="U19:V19" si="11">ROUND(+U17*$C$32,0)</f>
        <v>-132223</v>
      </c>
      <c r="V19" s="27">
        <f t="shared" si="11"/>
        <v>-26709</v>
      </c>
      <c r="W19" s="27">
        <f t="shared" ref="W19" si="12">ROUND(+W17*$C$32,0)</f>
        <v>0</v>
      </c>
      <c r="X19" s="27" t="e">
        <f>'KTW-3 p5 - Taxes'!#REF!</f>
        <v>#REF!</v>
      </c>
      <c r="Y19" s="83">
        <f t="shared" ref="Y19:AB19" si="13">ROUND(+Y17*$C$32,0)</f>
        <v>-640416</v>
      </c>
      <c r="Z19" s="83">
        <f t="shared" si="13"/>
        <v>-180883</v>
      </c>
      <c r="AA19" s="27">
        <f t="shared" si="13"/>
        <v>-371753</v>
      </c>
      <c r="AB19" s="83">
        <f t="shared" si="13"/>
        <v>-371753</v>
      </c>
    </row>
    <row r="20" spans="1:28" x14ac:dyDescent="0.2">
      <c r="A20" s="5">
        <f>+A19+1</f>
        <v>8</v>
      </c>
      <c r="B20" s="1" t="s">
        <v>177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83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83">
        <f>SUM(P20:X20)</f>
        <v>0</v>
      </c>
      <c r="Z20" s="83">
        <f>O20+Y20</f>
        <v>0</v>
      </c>
      <c r="AA20" s="27">
        <v>0</v>
      </c>
      <c r="AB20" s="83">
        <f>AA20</f>
        <v>0</v>
      </c>
    </row>
    <row r="21" spans="1:28" x14ac:dyDescent="0.2">
      <c r="B21" s="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83"/>
      <c r="P21" s="27"/>
      <c r="Q21" s="27"/>
      <c r="R21" s="27"/>
      <c r="S21" s="27"/>
      <c r="T21" s="27"/>
      <c r="U21" s="27"/>
      <c r="V21" s="27"/>
      <c r="W21" s="27"/>
      <c r="X21" s="27"/>
      <c r="Y21" s="83"/>
      <c r="Z21" s="83"/>
      <c r="AA21" s="27"/>
      <c r="AB21" s="83"/>
    </row>
    <row r="22" spans="1:28" x14ac:dyDescent="0.2">
      <c r="A22" s="5">
        <f>+A20+1</f>
        <v>9</v>
      </c>
      <c r="B22" s="1" t="s">
        <v>178</v>
      </c>
      <c r="C22" s="27">
        <f t="shared" ref="C22:L22" si="14">C19+C20</f>
        <v>-46800</v>
      </c>
      <c r="D22" s="27">
        <f t="shared" si="14"/>
        <v>476215</v>
      </c>
      <c r="E22" s="27">
        <f t="shared" si="14"/>
        <v>-8565</v>
      </c>
      <c r="F22" s="27">
        <f t="shared" si="14"/>
        <v>10596</v>
      </c>
      <c r="G22" s="27">
        <f t="shared" si="14"/>
        <v>5517</v>
      </c>
      <c r="H22" s="27">
        <f t="shared" si="14"/>
        <v>-17085</v>
      </c>
      <c r="I22" s="27">
        <f t="shared" si="14"/>
        <v>59685</v>
      </c>
      <c r="J22" s="27">
        <f t="shared" si="14"/>
        <v>-846</v>
      </c>
      <c r="K22" s="27">
        <f t="shared" si="14"/>
        <v>-23100</v>
      </c>
      <c r="L22" s="27">
        <f t="shared" si="14"/>
        <v>6863</v>
      </c>
      <c r="M22" s="27">
        <f t="shared" ref="M22" si="15">M19+M20</f>
        <v>-2946</v>
      </c>
      <c r="N22" s="27">
        <f t="shared" ref="N22:O22" si="16">N19+N20</f>
        <v>0</v>
      </c>
      <c r="O22" s="83">
        <f t="shared" si="16"/>
        <v>459533</v>
      </c>
      <c r="P22" s="27">
        <f t="shared" ref="P22:T22" si="17">P19+P20</f>
        <v>-84976</v>
      </c>
      <c r="Q22" s="27">
        <f t="shared" si="17"/>
        <v>-33702</v>
      </c>
      <c r="R22" s="27">
        <f t="shared" si="17"/>
        <v>-64503</v>
      </c>
      <c r="S22" s="27">
        <f t="shared" si="17"/>
        <v>-295577</v>
      </c>
      <c r="T22" s="27">
        <f t="shared" si="17"/>
        <v>-2725</v>
      </c>
      <c r="U22" s="27">
        <f t="shared" ref="U22:V22" si="18">U19+U20</f>
        <v>-132223</v>
      </c>
      <c r="V22" s="27">
        <f t="shared" si="18"/>
        <v>-26709</v>
      </c>
      <c r="W22" s="27">
        <f t="shared" ref="W22" si="19">W19+W20</f>
        <v>0</v>
      </c>
      <c r="X22" s="27">
        <v>0</v>
      </c>
      <c r="Y22" s="83">
        <f t="shared" ref="Y22:AB22" si="20">Y19+Y20</f>
        <v>-640416</v>
      </c>
      <c r="Z22" s="83">
        <f t="shared" si="20"/>
        <v>-180883</v>
      </c>
      <c r="AA22" s="27">
        <f t="shared" si="20"/>
        <v>-371753</v>
      </c>
      <c r="AB22" s="83">
        <f t="shared" si="20"/>
        <v>-371753</v>
      </c>
    </row>
    <row r="23" spans="1:28" x14ac:dyDescent="0.2">
      <c r="B23" s="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83"/>
      <c r="P23" s="27"/>
      <c r="Q23" s="27"/>
      <c r="R23" s="27"/>
      <c r="S23" s="27"/>
      <c r="T23" s="27"/>
      <c r="U23" s="27"/>
      <c r="V23" s="27"/>
      <c r="W23" s="27"/>
      <c r="X23" s="27"/>
      <c r="Y23" s="83"/>
      <c r="Z23" s="83"/>
      <c r="AA23" s="27"/>
      <c r="AB23" s="83"/>
    </row>
    <row r="24" spans="1:28" x14ac:dyDescent="0.2">
      <c r="A24" s="5">
        <f>+A22+1</f>
        <v>10</v>
      </c>
      <c r="B24" s="1" t="s">
        <v>179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83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 t="e">
        <f>X19</f>
        <v>#REF!</v>
      </c>
      <c r="Y24" s="83">
        <v>0</v>
      </c>
      <c r="Z24" s="83">
        <v>0</v>
      </c>
      <c r="AA24" s="27">
        <v>0</v>
      </c>
      <c r="AB24" s="83">
        <v>0</v>
      </c>
    </row>
    <row r="25" spans="1:28" x14ac:dyDescent="0.2">
      <c r="A25" s="5">
        <f>+A24+1</f>
        <v>11</v>
      </c>
      <c r="B25" s="1" t="s">
        <v>180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83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83">
        <v>0</v>
      </c>
      <c r="Z25" s="83">
        <v>0</v>
      </c>
      <c r="AA25" s="27">
        <v>0</v>
      </c>
      <c r="AB25" s="83">
        <v>0</v>
      </c>
    </row>
    <row r="26" spans="1:28" x14ac:dyDescent="0.2">
      <c r="A26" s="5">
        <f>+A25+1</f>
        <v>12</v>
      </c>
      <c r="B26" s="1" t="s">
        <v>181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83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83">
        <v>0</v>
      </c>
      <c r="Z26" s="83">
        <v>0</v>
      </c>
      <c r="AA26" s="27">
        <v>0</v>
      </c>
      <c r="AB26" s="83">
        <v>0</v>
      </c>
    </row>
    <row r="27" spans="1:28" x14ac:dyDescent="0.2">
      <c r="B27" s="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83"/>
      <c r="P27" s="27"/>
      <c r="Q27" s="27"/>
      <c r="R27" s="27"/>
      <c r="S27" s="27"/>
      <c r="T27" s="27"/>
      <c r="U27" s="27"/>
      <c r="V27" s="27"/>
      <c r="W27" s="27"/>
      <c r="X27" s="27"/>
      <c r="Y27" s="83"/>
      <c r="Z27" s="83"/>
      <c r="AA27" s="27"/>
      <c r="AB27" s="83"/>
    </row>
    <row r="28" spans="1:28" x14ac:dyDescent="0.2">
      <c r="A28" s="5">
        <f>+A26+1</f>
        <v>13</v>
      </c>
      <c r="B28" s="1" t="s">
        <v>182</v>
      </c>
      <c r="C28" s="27">
        <f t="shared" ref="C28:L28" si="21">C22+C24+C26</f>
        <v>-46800</v>
      </c>
      <c r="D28" s="27">
        <f t="shared" si="21"/>
        <v>476215</v>
      </c>
      <c r="E28" s="27">
        <f t="shared" si="21"/>
        <v>-8565</v>
      </c>
      <c r="F28" s="27">
        <f t="shared" si="21"/>
        <v>10596</v>
      </c>
      <c r="G28" s="27">
        <f t="shared" si="21"/>
        <v>5517</v>
      </c>
      <c r="H28" s="27">
        <f t="shared" si="21"/>
        <v>-17085</v>
      </c>
      <c r="I28" s="27">
        <f t="shared" si="21"/>
        <v>59685</v>
      </c>
      <c r="J28" s="27">
        <f t="shared" si="21"/>
        <v>-846</v>
      </c>
      <c r="K28" s="27">
        <f t="shared" si="21"/>
        <v>-23100</v>
      </c>
      <c r="L28" s="27">
        <f t="shared" si="21"/>
        <v>6863</v>
      </c>
      <c r="M28" s="27">
        <f t="shared" ref="M28" si="22">M22+M24+M26</f>
        <v>-2946</v>
      </c>
      <c r="N28" s="27">
        <f t="shared" ref="N28:O28" si="23">N22+N24+N26</f>
        <v>0</v>
      </c>
      <c r="O28" s="83">
        <f t="shared" si="23"/>
        <v>459533</v>
      </c>
      <c r="P28" s="27">
        <f t="shared" ref="P28:T28" si="24">P22+P24+P26</f>
        <v>-84976</v>
      </c>
      <c r="Q28" s="27">
        <f t="shared" si="24"/>
        <v>-33702</v>
      </c>
      <c r="R28" s="27">
        <f t="shared" si="24"/>
        <v>-64503</v>
      </c>
      <c r="S28" s="27">
        <f t="shared" si="24"/>
        <v>-295577</v>
      </c>
      <c r="T28" s="27">
        <f t="shared" si="24"/>
        <v>-2725</v>
      </c>
      <c r="U28" s="27">
        <f t="shared" ref="U28:V28" si="25">U22+U24+U26</f>
        <v>-132223</v>
      </c>
      <c r="V28" s="27">
        <f t="shared" si="25"/>
        <v>-26709</v>
      </c>
      <c r="W28" s="27">
        <f t="shared" ref="W28:X28" si="26">W22+W24+W26</f>
        <v>0</v>
      </c>
      <c r="X28" s="27" t="e">
        <f t="shared" si="26"/>
        <v>#REF!</v>
      </c>
      <c r="Y28" s="83">
        <f t="shared" ref="Y28:AB28" si="27">Y22+Y24+Y26</f>
        <v>-640416</v>
      </c>
      <c r="Z28" s="83">
        <f t="shared" si="27"/>
        <v>-180883</v>
      </c>
      <c r="AA28" s="27">
        <f t="shared" si="27"/>
        <v>-371753</v>
      </c>
      <c r="AB28" s="83">
        <f t="shared" si="27"/>
        <v>-371753</v>
      </c>
    </row>
    <row r="29" spans="1:28" x14ac:dyDescent="0.2">
      <c r="A29" s="5"/>
      <c r="B29" s="1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83"/>
      <c r="P29" s="27"/>
      <c r="Q29" s="27"/>
      <c r="R29" s="27"/>
      <c r="S29" s="27"/>
      <c r="T29" s="27"/>
      <c r="U29" s="27"/>
      <c r="V29" s="27"/>
      <c r="W29" s="27"/>
      <c r="X29" s="27"/>
      <c r="Y29" s="83"/>
      <c r="Z29" s="83"/>
      <c r="AA29" s="27"/>
      <c r="AB29" s="83"/>
    </row>
    <row r="30" spans="1:28" x14ac:dyDescent="0.2">
      <c r="A30" s="5"/>
      <c r="B30" s="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82"/>
      <c r="P30" s="11"/>
      <c r="Q30" s="11"/>
      <c r="R30" s="11"/>
      <c r="S30" s="11"/>
      <c r="T30" s="11"/>
      <c r="U30" s="11"/>
      <c r="V30" s="11"/>
      <c r="W30" s="11"/>
      <c r="X30" s="11"/>
      <c r="Y30" s="82"/>
      <c r="Z30" s="82"/>
      <c r="AA30" s="11"/>
      <c r="AB30" s="82"/>
    </row>
    <row r="31" spans="1:28" x14ac:dyDescent="0.2">
      <c r="A31" s="1"/>
      <c r="B31" s="1"/>
      <c r="C31" s="11"/>
      <c r="D31" s="11"/>
      <c r="E31" s="11"/>
      <c r="F31" s="11"/>
      <c r="H31" s="11"/>
      <c r="I31" s="11"/>
      <c r="J31" s="11"/>
      <c r="K31" s="11"/>
      <c r="L31" s="11"/>
      <c r="M31" s="11"/>
      <c r="N31" s="11"/>
      <c r="O31" s="82"/>
      <c r="P31" s="11"/>
      <c r="Q31" s="11"/>
      <c r="R31" s="11"/>
      <c r="S31" s="11"/>
      <c r="T31" s="11"/>
      <c r="U31" s="11"/>
      <c r="V31" s="11"/>
      <c r="W31" s="11"/>
      <c r="X31" s="11"/>
      <c r="Y31" s="82"/>
      <c r="Z31" s="82"/>
      <c r="AA31" s="11"/>
      <c r="AB31" s="82"/>
    </row>
    <row r="32" spans="1:28" x14ac:dyDescent="0.2">
      <c r="A32" s="1" t="s">
        <v>440</v>
      </c>
      <c r="B32" s="1"/>
      <c r="C32" s="22">
        <f>'KTW-3 p8 - Cost of Cap'!$C$43</f>
        <v>0.21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82"/>
      <c r="P32" s="11"/>
      <c r="Q32" s="11"/>
      <c r="R32" s="11"/>
      <c r="S32" s="11"/>
      <c r="T32" s="11"/>
      <c r="U32" s="11"/>
      <c r="V32" s="11"/>
      <c r="W32" s="11"/>
      <c r="X32" s="11"/>
      <c r="Y32" s="82"/>
      <c r="Z32" s="82"/>
      <c r="AA32" s="11"/>
      <c r="AB32" s="82"/>
    </row>
    <row r="33" spans="1:28" x14ac:dyDescent="0.2">
      <c r="A33" s="1"/>
      <c r="B33" s="1"/>
      <c r="C33" s="11"/>
      <c r="G33" s="11"/>
      <c r="O33" s="81"/>
      <c r="Y33" s="81"/>
      <c r="Z33" s="81"/>
      <c r="AB33" s="81"/>
    </row>
    <row r="34" spans="1:28" x14ac:dyDescent="0.2">
      <c r="A34" s="1"/>
      <c r="B34" s="1"/>
      <c r="C34" s="11"/>
      <c r="D34" s="11"/>
      <c r="E34" s="11"/>
      <c r="F34" s="11"/>
      <c r="G34" s="11"/>
      <c r="O34" s="81"/>
      <c r="P34" s="11"/>
      <c r="W34" s="11"/>
      <c r="X34" s="11"/>
      <c r="Y34" s="82"/>
      <c r="Z34" s="82"/>
      <c r="AA34" s="11"/>
      <c r="AB34" s="82"/>
    </row>
    <row r="35" spans="1:28" x14ac:dyDescent="0.2">
      <c r="A35" s="5"/>
      <c r="B35" s="1"/>
      <c r="O35" s="83"/>
      <c r="Y35" s="81"/>
      <c r="Z35" s="81"/>
      <c r="AB35" s="81"/>
    </row>
    <row r="36" spans="1:28" x14ac:dyDescent="0.2">
      <c r="A36" s="5"/>
      <c r="B36" s="1"/>
      <c r="O36" s="83"/>
      <c r="Y36" s="81"/>
      <c r="Z36" s="81"/>
      <c r="AB36" s="81"/>
    </row>
    <row r="37" spans="1:28" ht="15.75" thickBot="1" x14ac:dyDescent="0.25">
      <c r="A37" s="5"/>
      <c r="B37" s="1"/>
      <c r="O37" s="87"/>
      <c r="Y37" s="376"/>
      <c r="Z37" s="376"/>
      <c r="AB37" s="376"/>
    </row>
    <row r="38" spans="1:28" x14ac:dyDescent="0.2">
      <c r="A38" s="5"/>
      <c r="B38" s="1"/>
    </row>
  </sheetData>
  <customSheetViews>
    <customSheetView guid="{A7BD13BF-7E57-44D7-9B02-43E2FA430390}" scale="90" showPageBreaks="1" fitToPage="1" printArea="1">
      <selection activeCell="M28" sqref="M28"/>
      <pageMargins left="0.75" right="0.75" top="1" bottom="1" header="0.5" footer="0.5"/>
      <printOptions horizontalCentered="1"/>
      <pageSetup scale="51" fitToWidth="2" orientation="landscape" r:id="rId1"/>
      <headerFooter alignWithMargins="0"/>
    </customSheetView>
    <customSheetView guid="{C29552AC-6B79-447F-B962-713ED43BDF1A}" scale="90" showPageBreaks="1" fitToPage="1" printArea="1">
      <selection activeCell="R14" sqref="R14"/>
      <pageMargins left="0.75" right="0.75" top="1" bottom="1" header="0.5" footer="0.5"/>
      <printOptions horizontalCentered="1"/>
      <pageSetup scale="50" fitToWidth="2" orientation="landscape" r:id="rId2"/>
      <headerFooter alignWithMargins="0"/>
    </customSheetView>
    <customSheetView guid="{6ED201AA-AB2E-4FE7-B06B-B07932512C4D}" scale="90" showPageBreaks="1" fitToPage="1" printArea="1">
      <selection activeCell="R14" sqref="R14"/>
      <pageMargins left="0.75" right="0.75" top="1" bottom="1" header="0.5" footer="0.5"/>
      <printOptions horizontalCentered="1"/>
      <pageSetup scale="51" fitToWidth="2" orientation="landscape" r:id="rId3"/>
      <headerFooter alignWithMargins="0"/>
    </customSheetView>
    <customSheetView guid="{D711E10B-9441-4991-A2CB-ED400E35790D}" scale="90" fitToPage="1">
      <pane xSplit="2" ySplit="9" topLeftCell="I10" activePane="bottomRight" state="frozen"/>
      <selection pane="bottomRight" activeCell="K19" sqref="K19"/>
      <pageMargins left="0.75" right="0.75" top="1" bottom="1" header="0.5" footer="0.5"/>
      <printOptions horizontalCentered="1"/>
      <pageSetup scale="51" fitToWidth="2" orientation="landscape" r:id="rId4"/>
      <headerFooter alignWithMargins="0"/>
    </customSheetView>
  </customSheetViews>
  <phoneticPr fontId="5" type="noConversion"/>
  <printOptions horizontalCentered="1"/>
  <pageMargins left="0.75" right="0.75" top="1" bottom="1" header="0.5" footer="0.5"/>
  <pageSetup scale="51" fitToWidth="2" orientation="landscape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3476483-CA2E-4B0E-916F-3DFE840DEABE}"/>
</file>

<file path=customXml/itemProps2.xml><?xml version="1.0" encoding="utf-8"?>
<ds:datastoreItem xmlns:ds="http://schemas.openxmlformats.org/officeDocument/2006/customXml" ds:itemID="{72F4A724-3FF2-4FEF-BAF8-0E824757C7C8}"/>
</file>

<file path=customXml/itemProps3.xml><?xml version="1.0" encoding="utf-8"?>
<ds:datastoreItem xmlns:ds="http://schemas.openxmlformats.org/officeDocument/2006/customXml" ds:itemID="{73A1DE76-6542-488A-A5E2-ED5CBDE121B8}"/>
</file>

<file path=customXml/itemProps4.xml><?xml version="1.0" encoding="utf-8"?>
<ds:datastoreItem xmlns:ds="http://schemas.openxmlformats.org/officeDocument/2006/customXml" ds:itemID="{524ECDF0-121D-44AE-9378-FE8559BBBB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24</vt:i4>
      </vt:variant>
    </vt:vector>
  </HeadingPairs>
  <TitlesOfParts>
    <vt:vector size="53" baseType="lpstr">
      <vt:lpstr>KTW-2 - Rev Req</vt:lpstr>
      <vt:lpstr>KTW-3 p1 - Test Year Results</vt:lpstr>
      <vt:lpstr>KTW-3 p2 &amp; p3 - O&amp;M</vt:lpstr>
      <vt:lpstr>KTW-3 p4 - Factors</vt:lpstr>
      <vt:lpstr>KTW-3 p5 - Taxes</vt:lpstr>
      <vt:lpstr>KTW-3 p6 &amp; p7 - Rate Base</vt:lpstr>
      <vt:lpstr>KTW-3 p8 - Cost of Cap</vt:lpstr>
      <vt:lpstr>KTW-4,5,8 p1 - Adjust Issues</vt:lpstr>
      <vt:lpstr>KTW-4,5,8 p2 - Adjust Tax</vt:lpstr>
      <vt:lpstr>KTW-4 p3 - Revenue &amp; Gas Cost</vt:lpstr>
      <vt:lpstr>KTW-4 p4 - Misc Rev Adjs</vt:lpstr>
      <vt:lpstr>KTW-4 p5 - Bonuses</vt:lpstr>
      <vt:lpstr>KTW-4 p6 - Property Taxes</vt:lpstr>
      <vt:lpstr>KTW-4 p7 - Uncollectible</vt:lpstr>
      <vt:lpstr>KTW-4 p8 - Working Cap</vt:lpstr>
      <vt:lpstr>KTW-4 p9 - Marketing</vt:lpstr>
      <vt:lpstr>KTW-4 p10 - Claims</vt:lpstr>
      <vt:lpstr>KTW-4 p11 - Rate Case Exp</vt:lpstr>
      <vt:lpstr>KTW-4 p12 - Clearing</vt:lpstr>
      <vt:lpstr>KTW-4 p13 - Holdco</vt:lpstr>
      <vt:lpstr>KTW-5 p3 - Payroll 1</vt:lpstr>
      <vt:lpstr>KTW-5 p4 - Payroll 2</vt:lpstr>
      <vt:lpstr>KTW-5 p5 - Pay Overheads</vt:lpstr>
      <vt:lpstr>KTW-5 p6 - 250 Taylor</vt:lpstr>
      <vt:lpstr>KTW-5 p7,KTW-8 p3 - Post TY Adj</vt:lpstr>
      <vt:lpstr>KTW-5 p8 - EDIT RB Adj.</vt:lpstr>
      <vt:lpstr>KTW-5 p9 - EOP Deprec Exp</vt:lpstr>
      <vt:lpstr>KTW-5 p10 - EOP Rate Base</vt:lpstr>
      <vt:lpstr>KTW-7,9 p1 - Rev Req</vt:lpstr>
      <vt:lpstr>'KTW-2 - Rev Req'!Print_Area</vt:lpstr>
      <vt:lpstr>'KTW-3 p1 - Test Year Results'!Print_Area</vt:lpstr>
      <vt:lpstr>'KTW-3 p2 &amp; p3 - O&amp;M'!Print_Area</vt:lpstr>
      <vt:lpstr>'KTW-3 p5 - Taxes'!Print_Area</vt:lpstr>
      <vt:lpstr>'KTW-3 p6 &amp; p7 - Rate Base'!Print_Area</vt:lpstr>
      <vt:lpstr>'KTW-3 p8 - Cost of Cap'!Print_Area</vt:lpstr>
      <vt:lpstr>'KTW-4 p10 - Claims'!Print_Area</vt:lpstr>
      <vt:lpstr>'KTW-4 p11 - Rate Case Exp'!Print_Area</vt:lpstr>
      <vt:lpstr>'KTW-4 p12 - Clearing'!Print_Area</vt:lpstr>
      <vt:lpstr>'KTW-4 p3 - Revenue &amp; Gas Cost'!Print_Area</vt:lpstr>
      <vt:lpstr>'KTW-4 p4 - Misc Rev Adjs'!Print_Area</vt:lpstr>
      <vt:lpstr>'KTW-4 p5 - Bonuses'!Print_Area</vt:lpstr>
      <vt:lpstr>'KTW-4 p7 - Uncollectible'!Print_Area</vt:lpstr>
      <vt:lpstr>'KTW-4,5,8 p1 - Adjust Issues'!Print_Area</vt:lpstr>
      <vt:lpstr>'KTW-4,5,8 p2 - Adjust Tax'!Print_Area</vt:lpstr>
      <vt:lpstr>'KTW-5 p3 - Payroll 1'!Print_Area</vt:lpstr>
      <vt:lpstr>'KTW-5 p4 - Payroll 2'!Print_Area</vt:lpstr>
      <vt:lpstr>'KTW-5 p5 - Pay Overheads'!Print_Area</vt:lpstr>
      <vt:lpstr>'KTW-5 p6 - 250 Taylor'!Print_Area</vt:lpstr>
      <vt:lpstr>'KTW-5 p9 - EOP Deprec Exp'!Print_Area</vt:lpstr>
      <vt:lpstr>'KTW-3 p2 &amp; p3 - O&amp;M'!Print_Titles</vt:lpstr>
      <vt:lpstr>'KTW-3 p6 &amp; p7 - Rate Base'!Print_Titles</vt:lpstr>
      <vt:lpstr>'KTW-4,5,8 p1 - Adjust Issues'!Print_Titles</vt:lpstr>
      <vt:lpstr>'KTW-4,5,8 p2 - Adjust Tax'!Print_Titles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Walker, Kyle T.</cp:lastModifiedBy>
  <cp:lastPrinted>2020-12-10T00:50:24Z</cp:lastPrinted>
  <dcterms:created xsi:type="dcterms:W3CDTF">2001-04-24T18:09:59Z</dcterms:created>
  <dcterms:modified xsi:type="dcterms:W3CDTF">2020-12-10T01:10:39Z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