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worksheets/sheet12.xml" ContentType="application/vnd.openxmlformats-officedocument.spreadsheetml.worksheet+xml"/>
  <Override PartName="/xl/worksheets/sheet11.xml" ContentType="application/vnd.openxmlformats-officedocument.spreadsheetml.worksheet+xml"/>
  <Override PartName="/xl/worksheets/sheet10.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sharedStrings.xml" ContentType="application/vnd.openxmlformats-officedocument.spreadsheetml.sharedStrings+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GrpRates\Public\Gas Sch. 111 CCA\2023\Effective Nov. 1, 2023\Analysis\"/>
    </mc:Choice>
  </mc:AlternateContent>
  <bookViews>
    <workbookView xWindow="0" yWindow="0" windowWidth="28800" windowHeight="12300" tabRatio="825"/>
  </bookViews>
  <sheets>
    <sheet name="Sch. 111 Rate Summary" sheetId="41" r:id="rId1"/>
    <sheet name="Sch. 111 Charge Rates" sheetId="1" r:id="rId2"/>
    <sheet name="Sch. 111 Low Inc. Credit Rates" sheetId="9" r:id="rId3"/>
    <sheet name="Sch. 111 Non-Vol Credit Rates" sheetId="2" r:id="rId4"/>
    <sheet name="Sch.111 Non-Vol Credit Seasonal" sheetId="10" r:id="rId5"/>
    <sheet name="Rate Impacts--&gt;" sheetId="11" r:id="rId6"/>
    <sheet name="Rate Impacts Sch 111" sheetId="37" r:id="rId7"/>
    <sheet name="Typical Res Bill Sch 111" sheetId="38" r:id="rId8"/>
    <sheet name="Sch. 111 Charge" sheetId="39" r:id="rId9"/>
    <sheet name="Sch. 111 Credit" sheetId="40" r:id="rId10"/>
    <sheet name="Work Papers--&gt;" sheetId="3" r:id="rId11"/>
    <sheet name="Rev Req" sheetId="36" r:id="rId12"/>
    <sheet name="Low Income Forecast" sheetId="8" r:id="rId13"/>
    <sheet name="CCA Therm Forecast" sheetId="6" r:id="rId14"/>
    <sheet name="CCA Customer Forecast" sheetId="7" r:id="rId15"/>
    <sheet name="F2023 Forecast" sheetId="5" r:id="rId16"/>
  </sheets>
  <definedNames>
    <definedName name="_xlnm.Print_Area" localSheetId="14">'CCA Customer Forecast'!$A$1:$N$139</definedName>
    <definedName name="_xlnm.Print_Area" localSheetId="13">'CCA Therm Forecast'!$A$1:$N$99</definedName>
    <definedName name="_xlnm.Print_Area" localSheetId="15">'F2023 Forecast'!$A$1:$N$47</definedName>
    <definedName name="_xlnm.Print_Area" localSheetId="12">'Low Income Forecast'!$A$1:$N$43</definedName>
    <definedName name="_xlnm.Print_Area" localSheetId="6">'Rate Impacts Sch 111'!$B$1:$V$37</definedName>
    <definedName name="_xlnm.Print_Area" localSheetId="8">'Sch. 111 Charge'!$A$1:$M$23</definedName>
    <definedName name="_xlnm.Print_Area" localSheetId="1">'Sch. 111 Charge Rates'!$A$1:$H$31</definedName>
    <definedName name="_xlnm.Print_Area" localSheetId="9">'Sch. 111 Credit'!$A$1:$M$34</definedName>
    <definedName name="_xlnm.Print_Area" localSheetId="2">'Sch. 111 Low Inc. Credit Rates'!$A$1:$F$14</definedName>
    <definedName name="_xlnm.Print_Area" localSheetId="3">'Sch. 111 Non-Vol Credit Rates'!$A$1:$H$33</definedName>
    <definedName name="_xlnm.Print_Area" localSheetId="0">'Sch. 111 Rate Summary'!$A$1:$H$89</definedName>
    <definedName name="_xlnm.Print_Area" localSheetId="4">'Sch.111 Non-Vol Credit Seasonal'!$A$1:$P$31</definedName>
    <definedName name="_xlnm.Print_Area" localSheetId="7">'Typical Res Bill Sch 111'!$B$1:$H$43</definedName>
    <definedName name="_xlnm.Print_Titles" localSheetId="14">'CCA Customer Forecast'!$1:$4</definedName>
    <definedName name="_xlnm.Print_Titles" localSheetId="13">'CCA Therm Forecast'!$1:$4</definedName>
    <definedName name="_xlnm.Print_Titles" localSheetId="0">'Sch. 111 Rate Summary'!$1:$4</definedName>
  </definedNames>
  <calcPr calcId="162913" concurrentManualCount="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1" i="41" l="1"/>
  <c r="G89" i="41" l="1"/>
  <c r="G88" i="41"/>
  <c r="G87" i="41"/>
  <c r="G86" i="41"/>
  <c r="G85" i="41"/>
  <c r="G84" i="41"/>
  <c r="G83" i="41"/>
  <c r="G82" i="41"/>
  <c r="G81" i="41"/>
  <c r="G80" i="41"/>
  <c r="G79" i="41"/>
  <c r="H82" i="41"/>
  <c r="H83" i="41"/>
  <c r="H85" i="41"/>
  <c r="H86" i="41"/>
  <c r="G78" i="41"/>
  <c r="H89" i="41"/>
  <c r="E89" i="41"/>
  <c r="H88" i="41"/>
  <c r="E88" i="41"/>
  <c r="H87" i="41"/>
  <c r="E87" i="41"/>
  <c r="E86" i="41"/>
  <c r="E85" i="41"/>
  <c r="H84" i="41"/>
  <c r="E84" i="41"/>
  <c r="E83" i="41"/>
  <c r="E82" i="41"/>
  <c r="H81" i="41"/>
  <c r="E81" i="41"/>
  <c r="H80" i="41"/>
  <c r="E80" i="41"/>
  <c r="B80" i="41"/>
  <c r="B81" i="41" s="1"/>
  <c r="B82" i="41" s="1"/>
  <c r="B83" i="41" s="1"/>
  <c r="B84" i="41" s="1"/>
  <c r="B85" i="41" s="1"/>
  <c r="B86" i="41" s="1"/>
  <c r="B87" i="41" s="1"/>
  <c r="B88" i="41" s="1"/>
  <c r="B89" i="41" s="1"/>
  <c r="H79" i="41"/>
  <c r="E79" i="41"/>
  <c r="B79" i="41"/>
  <c r="H78" i="41"/>
  <c r="E78" i="41"/>
  <c r="G76" i="41"/>
  <c r="H76" i="41" s="1"/>
  <c r="G75" i="41"/>
  <c r="H75" i="41" s="1"/>
  <c r="G74" i="41"/>
  <c r="G73" i="41"/>
  <c r="H73" i="41" s="1"/>
  <c r="G72" i="41"/>
  <c r="G71" i="41"/>
  <c r="G70" i="41"/>
  <c r="G69" i="41"/>
  <c r="G68" i="41"/>
  <c r="G67" i="41"/>
  <c r="G66" i="41"/>
  <c r="H69" i="41"/>
  <c r="H70" i="41"/>
  <c r="H72" i="41"/>
  <c r="G65" i="41"/>
  <c r="E76" i="41"/>
  <c r="E75" i="41"/>
  <c r="H74" i="41"/>
  <c r="E74" i="41"/>
  <c r="E73" i="41"/>
  <c r="E72" i="41"/>
  <c r="H71" i="41"/>
  <c r="E71" i="41"/>
  <c r="E70" i="41"/>
  <c r="E69" i="41"/>
  <c r="H68" i="41"/>
  <c r="E68" i="41"/>
  <c r="H67" i="41"/>
  <c r="E67" i="41"/>
  <c r="B67" i="41"/>
  <c r="B68" i="41" s="1"/>
  <c r="B69" i="41" s="1"/>
  <c r="B70" i="41" s="1"/>
  <c r="B71" i="41" s="1"/>
  <c r="B72" i="41" s="1"/>
  <c r="B73" i="41" s="1"/>
  <c r="B74" i="41" s="1"/>
  <c r="B75" i="41" s="1"/>
  <c r="B76" i="41" s="1"/>
  <c r="H66" i="41"/>
  <c r="E66" i="41"/>
  <c r="B66" i="41"/>
  <c r="H65" i="41"/>
  <c r="E65" i="41"/>
  <c r="G63" i="41"/>
  <c r="H63" i="41" s="1"/>
  <c r="G62" i="41"/>
  <c r="H62" i="41" s="1"/>
  <c r="G61" i="41"/>
  <c r="H61" i="41" s="1"/>
  <c r="G60" i="41"/>
  <c r="H60" i="41" s="1"/>
  <c r="G59" i="41"/>
  <c r="H59" i="41" s="1"/>
  <c r="G58" i="41"/>
  <c r="H58" i="41" s="1"/>
  <c r="G57" i="41"/>
  <c r="H57" i="41" s="1"/>
  <c r="G56" i="41"/>
  <c r="H56" i="41" s="1"/>
  <c r="G55" i="41"/>
  <c r="H55" i="41" s="1"/>
  <c r="G54" i="41"/>
  <c r="H54" i="41" s="1"/>
  <c r="G53" i="41"/>
  <c r="H53" i="41" s="1"/>
  <c r="G52" i="41"/>
  <c r="H52" i="41" s="1"/>
  <c r="E53" i="41"/>
  <c r="E54" i="41"/>
  <c r="E55" i="41"/>
  <c r="E56" i="41"/>
  <c r="E57" i="41"/>
  <c r="E58" i="41"/>
  <c r="E59" i="41"/>
  <c r="E60" i="41"/>
  <c r="E61" i="41"/>
  <c r="E62" i="41"/>
  <c r="E63" i="41"/>
  <c r="E52" i="41"/>
  <c r="B54" i="41"/>
  <c r="B55" i="41" s="1"/>
  <c r="B56" i="41" s="1"/>
  <c r="B57" i="41" s="1"/>
  <c r="B58" i="41" s="1"/>
  <c r="B59" i="41" s="1"/>
  <c r="B60" i="41" s="1"/>
  <c r="B61" i="41" s="1"/>
  <c r="B62" i="41" s="1"/>
  <c r="B63" i="41" s="1"/>
  <c r="B53" i="41"/>
  <c r="G29" i="41"/>
  <c r="G31" i="41"/>
  <c r="H31" i="41" s="1"/>
  <c r="G32" i="41"/>
  <c r="H32" i="41" s="1"/>
  <c r="G33" i="41"/>
  <c r="H33" i="41" s="1"/>
  <c r="G34" i="41"/>
  <c r="H34" i="41" s="1"/>
  <c r="G36" i="41"/>
  <c r="H36" i="41" s="1"/>
  <c r="G37" i="41"/>
  <c r="G38" i="41"/>
  <c r="G39" i="41"/>
  <c r="H39" i="41" s="1"/>
  <c r="G40" i="41"/>
  <c r="G46" i="41"/>
  <c r="H46" i="41" s="1"/>
  <c r="E46" i="41"/>
  <c r="H40" i="41"/>
  <c r="E40" i="41"/>
  <c r="E39" i="41"/>
  <c r="H38" i="41"/>
  <c r="E38" i="41"/>
  <c r="H37" i="41"/>
  <c r="E37" i="41"/>
  <c r="E36" i="41"/>
  <c r="E34" i="41"/>
  <c r="E33" i="41"/>
  <c r="E32" i="41"/>
  <c r="E31" i="41"/>
  <c r="H29" i="41"/>
  <c r="E29" i="41"/>
  <c r="G22" i="41"/>
  <c r="H22" i="41" s="1"/>
  <c r="E22" i="41"/>
  <c r="G21" i="41"/>
  <c r="H21" i="41" s="1"/>
  <c r="E21" i="41"/>
  <c r="G20" i="41"/>
  <c r="H20" i="41" s="1"/>
  <c r="E20" i="41"/>
  <c r="G19" i="41"/>
  <c r="H19" i="41" s="1"/>
  <c r="E19" i="41"/>
  <c r="G18" i="41"/>
  <c r="H18" i="41" s="1"/>
  <c r="E18" i="41"/>
  <c r="G17" i="41"/>
  <c r="H17" i="41" s="1"/>
  <c r="E17" i="41"/>
  <c r="G16" i="41"/>
  <c r="H16" i="41" s="1"/>
  <c r="E16" i="41"/>
  <c r="G15" i="41"/>
  <c r="H15" i="41" s="1"/>
  <c r="E15" i="41"/>
  <c r="G14" i="41"/>
  <c r="H14" i="41" s="1"/>
  <c r="E14" i="41"/>
  <c r="G13" i="41"/>
  <c r="H13" i="41" s="1"/>
  <c r="E13" i="41"/>
  <c r="G12" i="41"/>
  <c r="H12" i="41" s="1"/>
  <c r="E12" i="41"/>
  <c r="H11" i="41"/>
  <c r="E11" i="41"/>
  <c r="G10" i="41"/>
  <c r="H10" i="41" s="1"/>
  <c r="E10" i="41"/>
  <c r="C80" i="7" l="1"/>
  <c r="D80" i="7"/>
  <c r="E80" i="7"/>
  <c r="F80" i="7"/>
  <c r="G80" i="7"/>
  <c r="H80" i="7"/>
  <c r="I80" i="7"/>
  <c r="J80" i="7"/>
  <c r="K80" i="7"/>
  <c r="L80" i="7"/>
  <c r="M80" i="7"/>
  <c r="C81" i="7"/>
  <c r="D81" i="7"/>
  <c r="E81" i="7"/>
  <c r="F81" i="7"/>
  <c r="G81" i="7"/>
  <c r="H81" i="7"/>
  <c r="I81" i="7"/>
  <c r="J81" i="7"/>
  <c r="K81" i="7"/>
  <c r="L81" i="7"/>
  <c r="M81" i="7"/>
  <c r="C82" i="7"/>
  <c r="D82" i="7"/>
  <c r="E82" i="7"/>
  <c r="F82" i="7"/>
  <c r="G82" i="7"/>
  <c r="H82" i="7"/>
  <c r="I82" i="7"/>
  <c r="J82" i="7"/>
  <c r="K82" i="7"/>
  <c r="L82" i="7"/>
  <c r="M82" i="7"/>
  <c r="C83" i="7"/>
  <c r="D83" i="7"/>
  <c r="E83" i="7"/>
  <c r="F83" i="7"/>
  <c r="G83" i="7"/>
  <c r="H83" i="7"/>
  <c r="I83" i="7"/>
  <c r="J83" i="7"/>
  <c r="K83" i="7"/>
  <c r="L83" i="7"/>
  <c r="M83" i="7"/>
  <c r="C84" i="7"/>
  <c r="D84" i="7"/>
  <c r="E84" i="7"/>
  <c r="F84" i="7"/>
  <c r="G84" i="7"/>
  <c r="H84" i="7"/>
  <c r="I84" i="7"/>
  <c r="J84" i="7"/>
  <c r="K84" i="7"/>
  <c r="L84" i="7"/>
  <c r="M84" i="7"/>
  <c r="C85" i="7"/>
  <c r="D85" i="7"/>
  <c r="E85" i="7"/>
  <c r="F85" i="7"/>
  <c r="G85" i="7"/>
  <c r="H85" i="7"/>
  <c r="I85" i="7"/>
  <c r="J85" i="7"/>
  <c r="K85" i="7"/>
  <c r="L85" i="7"/>
  <c r="M85" i="7"/>
  <c r="C86" i="7"/>
  <c r="D86" i="7"/>
  <c r="E86" i="7"/>
  <c r="F86" i="7"/>
  <c r="G86" i="7"/>
  <c r="H86" i="7"/>
  <c r="I86" i="7"/>
  <c r="J86" i="7"/>
  <c r="K86" i="7"/>
  <c r="L86" i="7"/>
  <c r="M86" i="7"/>
  <c r="C87" i="7"/>
  <c r="D87" i="7"/>
  <c r="E87" i="7"/>
  <c r="F87" i="7"/>
  <c r="G87" i="7"/>
  <c r="H87" i="7"/>
  <c r="I87" i="7"/>
  <c r="J87" i="7"/>
  <c r="K87" i="7"/>
  <c r="L87" i="7"/>
  <c r="M87" i="7"/>
  <c r="C88" i="7"/>
  <c r="D88" i="7"/>
  <c r="E88" i="7"/>
  <c r="F88" i="7"/>
  <c r="G88" i="7"/>
  <c r="H88" i="7"/>
  <c r="I88" i="7"/>
  <c r="J88" i="7"/>
  <c r="K88" i="7"/>
  <c r="L88" i="7"/>
  <c r="M88" i="7"/>
  <c r="C89" i="7"/>
  <c r="D89" i="7"/>
  <c r="E89" i="7"/>
  <c r="F89" i="7"/>
  <c r="G89" i="7"/>
  <c r="H89" i="7"/>
  <c r="I89" i="7"/>
  <c r="J89" i="7"/>
  <c r="K89" i="7"/>
  <c r="L89" i="7"/>
  <c r="M89" i="7"/>
  <c r="C90" i="7"/>
  <c r="D90" i="7"/>
  <c r="E90" i="7"/>
  <c r="F90" i="7"/>
  <c r="G90" i="7"/>
  <c r="H90" i="7"/>
  <c r="I90" i="7"/>
  <c r="J90" i="7"/>
  <c r="K90" i="7"/>
  <c r="L90" i="7"/>
  <c r="M90" i="7"/>
  <c r="C91" i="7"/>
  <c r="D91" i="7"/>
  <c r="E91" i="7"/>
  <c r="F91" i="7"/>
  <c r="G91" i="7"/>
  <c r="H91" i="7"/>
  <c r="I91" i="7"/>
  <c r="J91" i="7"/>
  <c r="K91" i="7"/>
  <c r="L91" i="7"/>
  <c r="M91" i="7"/>
  <c r="C92" i="7"/>
  <c r="D92" i="7"/>
  <c r="E92" i="7"/>
  <c r="F92" i="7"/>
  <c r="G92" i="7"/>
  <c r="H92" i="7"/>
  <c r="I92" i="7"/>
  <c r="J92" i="7"/>
  <c r="K92" i="7"/>
  <c r="L92" i="7"/>
  <c r="M92" i="7"/>
  <c r="C93" i="7"/>
  <c r="D93" i="7"/>
  <c r="E93" i="7"/>
  <c r="F93" i="7"/>
  <c r="G93" i="7"/>
  <c r="H93" i="7"/>
  <c r="I93" i="7"/>
  <c r="J93" i="7"/>
  <c r="K93" i="7"/>
  <c r="L93" i="7"/>
  <c r="M93" i="7"/>
  <c r="B81" i="7"/>
  <c r="B82" i="7"/>
  <c r="B83" i="7"/>
  <c r="B84" i="7"/>
  <c r="B85" i="7"/>
  <c r="B86" i="7"/>
  <c r="B87" i="7"/>
  <c r="B88" i="7"/>
  <c r="B89" i="7"/>
  <c r="B90" i="7"/>
  <c r="B91" i="7"/>
  <c r="B92" i="7"/>
  <c r="B93" i="7"/>
  <c r="B80" i="7"/>
  <c r="C25" i="8"/>
  <c r="D25" i="8"/>
  <c r="E25" i="8"/>
  <c r="F25" i="8"/>
  <c r="G25" i="8"/>
  <c r="H25" i="8"/>
  <c r="I25" i="8"/>
  <c r="J25" i="8"/>
  <c r="K25" i="8"/>
  <c r="L25" i="8"/>
  <c r="M25" i="8"/>
  <c r="B25" i="8"/>
  <c r="M40" i="8"/>
  <c r="L40" i="8"/>
  <c r="K40" i="8"/>
  <c r="J40" i="8"/>
  <c r="I40" i="8"/>
  <c r="H40" i="8"/>
  <c r="G40" i="8"/>
  <c r="F40" i="8"/>
  <c r="E40" i="8"/>
  <c r="D40" i="8"/>
  <c r="C40" i="8"/>
  <c r="B40" i="8"/>
  <c r="N39" i="8"/>
  <c r="N38" i="8"/>
  <c r="N37" i="8"/>
  <c r="N36" i="8"/>
  <c r="N35" i="8"/>
  <c r="N34" i="8"/>
  <c r="N33" i="8"/>
  <c r="N32" i="8"/>
  <c r="N31" i="8"/>
  <c r="N30" i="8"/>
  <c r="N29" i="8"/>
  <c r="N28" i="8"/>
  <c r="N27" i="8"/>
  <c r="N26" i="8"/>
  <c r="N40" i="8" l="1"/>
  <c r="V18" i="37" l="1"/>
  <c r="A18" i="10" l="1"/>
  <c r="A19" i="10"/>
  <c r="A20" i="10"/>
  <c r="A21" i="10"/>
  <c r="A22" i="10"/>
  <c r="A23" i="10" s="1"/>
  <c r="A24" i="10" s="1"/>
  <c r="A25" i="10" s="1"/>
  <c r="A26" i="10" s="1"/>
  <c r="A27" i="10" s="1"/>
  <c r="A28" i="10" s="1"/>
  <c r="A29" i="10" s="1"/>
  <c r="E15" i="10"/>
  <c r="F15" i="10"/>
  <c r="G15" i="10"/>
  <c r="H15" i="10"/>
  <c r="I15" i="10"/>
  <c r="J15" i="10"/>
  <c r="K15" i="10"/>
  <c r="L15" i="10"/>
  <c r="M15" i="10"/>
  <c r="N15" i="10"/>
  <c r="O15" i="10"/>
  <c r="D15" i="10"/>
  <c r="H29" i="40" l="1"/>
  <c r="I29" i="40" s="1"/>
  <c r="F29" i="40"/>
  <c r="C28" i="40"/>
  <c r="J22" i="40"/>
  <c r="F22" i="40"/>
  <c r="J21" i="40"/>
  <c r="F21" i="40"/>
  <c r="J20" i="40"/>
  <c r="F20" i="40"/>
  <c r="J19" i="40"/>
  <c r="F19" i="40"/>
  <c r="J18" i="40"/>
  <c r="F18" i="40"/>
  <c r="J17" i="40"/>
  <c r="F17" i="40"/>
  <c r="J16" i="40"/>
  <c r="F16" i="40"/>
  <c r="J15" i="40"/>
  <c r="F15" i="40"/>
  <c r="J14" i="40"/>
  <c r="F14" i="40"/>
  <c r="J13" i="40"/>
  <c r="F13" i="40"/>
  <c r="J12" i="40"/>
  <c r="F12" i="40"/>
  <c r="J11" i="40"/>
  <c r="F11" i="40"/>
  <c r="J10" i="40"/>
  <c r="F10" i="40"/>
  <c r="C23" i="40"/>
  <c r="J22" i="39"/>
  <c r="H22" i="39"/>
  <c r="I22" i="39" s="1"/>
  <c r="F22" i="39"/>
  <c r="H21" i="39"/>
  <c r="I21" i="39" s="1"/>
  <c r="F21" i="39"/>
  <c r="J20" i="39"/>
  <c r="K21" i="37" s="1"/>
  <c r="H20" i="39"/>
  <c r="I20" i="39" s="1"/>
  <c r="F20" i="39"/>
  <c r="H19" i="39"/>
  <c r="I19" i="39" s="1"/>
  <c r="F19" i="39"/>
  <c r="J19" i="39" s="1"/>
  <c r="K20" i="37" s="1"/>
  <c r="H18" i="39"/>
  <c r="I18" i="39" s="1"/>
  <c r="F18" i="39"/>
  <c r="J17" i="39"/>
  <c r="I17" i="39"/>
  <c r="H17" i="39"/>
  <c r="F17" i="39"/>
  <c r="H16" i="39"/>
  <c r="I16" i="39" s="1"/>
  <c r="F16" i="39"/>
  <c r="H15" i="39"/>
  <c r="I15" i="39" s="1"/>
  <c r="F15" i="39"/>
  <c r="J14" i="39"/>
  <c r="K15" i="37" s="1"/>
  <c r="K30" i="37" s="1"/>
  <c r="H14" i="39"/>
  <c r="I14" i="39" s="1"/>
  <c r="F14" i="39"/>
  <c r="H13" i="39"/>
  <c r="I13" i="39" s="1"/>
  <c r="F13" i="39"/>
  <c r="J12" i="39"/>
  <c r="K13" i="37" s="1"/>
  <c r="K28" i="37" s="1"/>
  <c r="H12" i="39"/>
  <c r="I12" i="39" s="1"/>
  <c r="F12" i="39"/>
  <c r="H11" i="39"/>
  <c r="I11" i="39" s="1"/>
  <c r="F11" i="39"/>
  <c r="J11" i="39" s="1"/>
  <c r="K12" i="37" s="1"/>
  <c r="H10" i="39"/>
  <c r="I10" i="39" s="1"/>
  <c r="F10" i="39"/>
  <c r="G34" i="38"/>
  <c r="H34" i="38" s="1"/>
  <c r="D34" i="38"/>
  <c r="E34" i="38" s="1"/>
  <c r="G33" i="38"/>
  <c r="G32" i="38"/>
  <c r="G27" i="38"/>
  <c r="G26" i="38"/>
  <c r="G25" i="38"/>
  <c r="G24" i="38"/>
  <c r="G23" i="38"/>
  <c r="G22" i="38"/>
  <c r="G21" i="38"/>
  <c r="G20" i="38"/>
  <c r="G19" i="38"/>
  <c r="D19" i="38"/>
  <c r="D15" i="38"/>
  <c r="E15" i="38" s="1"/>
  <c r="G13" i="38"/>
  <c r="D13" i="38"/>
  <c r="G12" i="38"/>
  <c r="H12" i="38" s="1"/>
  <c r="H13" i="38" s="1"/>
  <c r="B2" i="38"/>
  <c r="S33" i="37"/>
  <c r="O33" i="37"/>
  <c r="M33" i="37"/>
  <c r="L33" i="37"/>
  <c r="J33" i="37"/>
  <c r="I33" i="37"/>
  <c r="G33" i="37"/>
  <c r="S32" i="37"/>
  <c r="R32" i="37"/>
  <c r="Q32" i="37"/>
  <c r="O32" i="37"/>
  <c r="I32" i="37"/>
  <c r="G32" i="37"/>
  <c r="P31" i="37"/>
  <c r="G31" i="37"/>
  <c r="S30" i="37"/>
  <c r="N30" i="37"/>
  <c r="M30" i="37"/>
  <c r="I30" i="37"/>
  <c r="M29" i="37"/>
  <c r="L29" i="37"/>
  <c r="E29" i="37"/>
  <c r="F29" i="37" s="1"/>
  <c r="D29" i="37"/>
  <c r="M28" i="37"/>
  <c r="L28" i="37"/>
  <c r="D28" i="37"/>
  <c r="S27" i="37"/>
  <c r="R27" i="37"/>
  <c r="Q27" i="37"/>
  <c r="R24" i="37"/>
  <c r="Q24" i="37"/>
  <c r="R33" i="37"/>
  <c r="Q33" i="37"/>
  <c r="P33" i="37"/>
  <c r="N33" i="37"/>
  <c r="E33" i="37"/>
  <c r="D33" i="37"/>
  <c r="P32" i="37"/>
  <c r="F22" i="37"/>
  <c r="H22" i="37" s="1"/>
  <c r="O31" i="37"/>
  <c r="F21" i="37"/>
  <c r="H21" i="37" s="1"/>
  <c r="T21" i="37" s="1"/>
  <c r="F20" i="37"/>
  <c r="H20" i="37" s="1"/>
  <c r="T20" i="37" s="1"/>
  <c r="E30" i="37"/>
  <c r="O29" i="37"/>
  <c r="N29" i="37"/>
  <c r="S28" i="37"/>
  <c r="K18" i="37"/>
  <c r="T18" i="37" s="1"/>
  <c r="F18" i="37"/>
  <c r="H18" i="37" s="1"/>
  <c r="N32" i="37"/>
  <c r="M32" i="37"/>
  <c r="L32" i="37"/>
  <c r="J32" i="37"/>
  <c r="F17" i="37"/>
  <c r="H17" i="37" s="1"/>
  <c r="D32" i="37"/>
  <c r="S31" i="37"/>
  <c r="R31" i="37"/>
  <c r="Q31" i="37"/>
  <c r="N31" i="37"/>
  <c r="M31" i="37"/>
  <c r="L31" i="37"/>
  <c r="J31" i="37"/>
  <c r="J34" i="37" s="1"/>
  <c r="I31" i="37"/>
  <c r="E31" i="37"/>
  <c r="F31" i="37" s="1"/>
  <c r="D31" i="37"/>
  <c r="Q30" i="37"/>
  <c r="P30" i="37"/>
  <c r="O30" i="37"/>
  <c r="L30" i="37"/>
  <c r="J30" i="37"/>
  <c r="G30" i="37"/>
  <c r="D30" i="37"/>
  <c r="S29" i="37"/>
  <c r="R29" i="37"/>
  <c r="Q29" i="37"/>
  <c r="P29" i="37"/>
  <c r="J29" i="37"/>
  <c r="H14" i="37"/>
  <c r="G29" i="37"/>
  <c r="F14" i="37"/>
  <c r="R28" i="37"/>
  <c r="Q28" i="37"/>
  <c r="P28" i="37"/>
  <c r="O28" i="37"/>
  <c r="N28" i="37"/>
  <c r="J28" i="37"/>
  <c r="I28" i="37"/>
  <c r="G28" i="37"/>
  <c r="E28" i="37"/>
  <c r="F28" i="37" s="1"/>
  <c r="F12" i="37"/>
  <c r="H12" i="37" s="1"/>
  <c r="P27" i="37"/>
  <c r="M24" i="37"/>
  <c r="L27" i="37"/>
  <c r="J27" i="37"/>
  <c r="I27" i="37"/>
  <c r="E27" i="37"/>
  <c r="D27" i="37"/>
  <c r="D34" i="37" s="1"/>
  <c r="E7" i="37"/>
  <c r="T12" i="37" l="1"/>
  <c r="F27" i="37"/>
  <c r="J29" i="40"/>
  <c r="K29" i="40"/>
  <c r="L29" i="40" s="1"/>
  <c r="M29" i="40" s="1"/>
  <c r="H32" i="37"/>
  <c r="P24" i="37"/>
  <c r="K13" i="39"/>
  <c r="J13" i="39"/>
  <c r="K14" i="37" s="1"/>
  <c r="F15" i="37"/>
  <c r="H15" i="37" s="1"/>
  <c r="F11" i="37"/>
  <c r="H11" i="37" s="1"/>
  <c r="K16" i="39"/>
  <c r="J16" i="39"/>
  <c r="K17" i="37" s="1"/>
  <c r="K32" i="37" s="1"/>
  <c r="D24" i="37"/>
  <c r="J24" i="37"/>
  <c r="I29" i="37"/>
  <c r="I34" i="37" s="1"/>
  <c r="I24" i="37"/>
  <c r="E24" i="37"/>
  <c r="F24" i="37" s="1"/>
  <c r="M27" i="37"/>
  <c r="M34" i="37" s="1"/>
  <c r="G30" i="38"/>
  <c r="H30" i="38" s="1"/>
  <c r="E30" i="38"/>
  <c r="K21" i="39"/>
  <c r="J21" i="39"/>
  <c r="K22" i="37" s="1"/>
  <c r="T22" i="37" s="1"/>
  <c r="Q34" i="37"/>
  <c r="N24" i="37"/>
  <c r="O24" i="37"/>
  <c r="F13" i="37"/>
  <c r="H13" i="37" s="1"/>
  <c r="S34" i="37"/>
  <c r="P34" i="37"/>
  <c r="F30" i="37"/>
  <c r="L34" i="37"/>
  <c r="E32" i="37"/>
  <c r="F32" i="37" s="1"/>
  <c r="N27" i="37"/>
  <c r="N34" i="37" s="1"/>
  <c r="G24" i="37"/>
  <c r="F33" i="37"/>
  <c r="S24" i="37"/>
  <c r="F23" i="37"/>
  <c r="H23" i="37" s="1"/>
  <c r="K17" i="39"/>
  <c r="L17" i="39" s="1"/>
  <c r="J23" i="40"/>
  <c r="J32" i="40" s="1"/>
  <c r="K10" i="39"/>
  <c r="K18" i="39"/>
  <c r="L18" i="39" s="1"/>
  <c r="K23" i="37"/>
  <c r="K33" i="37" s="1"/>
  <c r="K15" i="39"/>
  <c r="L15" i="39" s="1"/>
  <c r="C23" i="39"/>
  <c r="K12" i="39"/>
  <c r="L12" i="39" s="1"/>
  <c r="K20" i="39"/>
  <c r="L20" i="39" s="1"/>
  <c r="R30" i="37"/>
  <c r="R34" i="37" s="1"/>
  <c r="F16" i="37"/>
  <c r="H16" i="37" s="1"/>
  <c r="F19" i="37"/>
  <c r="H19" i="37" s="1"/>
  <c r="T19" i="37" s="1"/>
  <c r="L24" i="37"/>
  <c r="D28" i="38"/>
  <c r="J10" i="39"/>
  <c r="K14" i="39"/>
  <c r="L14" i="39" s="1"/>
  <c r="J18" i="39"/>
  <c r="K19" i="37" s="1"/>
  <c r="K22" i="39"/>
  <c r="L22" i="39" s="1"/>
  <c r="G18" i="38"/>
  <c r="G28" i="38" s="1"/>
  <c r="K11" i="39"/>
  <c r="L11" i="39" s="1"/>
  <c r="J15" i="39"/>
  <c r="K16" i="37" s="1"/>
  <c r="K31" i="37" s="1"/>
  <c r="K19" i="39"/>
  <c r="L19" i="39" s="1"/>
  <c r="G27" i="37"/>
  <c r="G34" i="37" s="1"/>
  <c r="O27" i="37"/>
  <c r="O34" i="37" s="1"/>
  <c r="E12" i="38"/>
  <c r="E13" i="38" s="1"/>
  <c r="H33" i="37" l="1"/>
  <c r="T23" i="37"/>
  <c r="T33" i="37" s="1"/>
  <c r="L21" i="39"/>
  <c r="M11" i="39"/>
  <c r="U12" i="37"/>
  <c r="M18" i="39"/>
  <c r="U19" i="37"/>
  <c r="G35" i="38"/>
  <c r="G41" i="38"/>
  <c r="H28" i="38"/>
  <c r="H35" i="38" s="1"/>
  <c r="H31" i="37"/>
  <c r="T16" i="37"/>
  <c r="T31" i="37" s="1"/>
  <c r="L10" i="39"/>
  <c r="K23" i="39"/>
  <c r="L16" i="39"/>
  <c r="T15" i="37"/>
  <c r="T30" i="37" s="1"/>
  <c r="H30" i="37"/>
  <c r="M22" i="39"/>
  <c r="U23" i="37"/>
  <c r="M20" i="39"/>
  <c r="U21" i="37"/>
  <c r="M17" i="39"/>
  <c r="U18" i="37"/>
  <c r="M14" i="39"/>
  <c r="U15" i="37"/>
  <c r="M12" i="39"/>
  <c r="U13" i="37"/>
  <c r="T13" i="37"/>
  <c r="T28" i="37" s="1"/>
  <c r="H28" i="37"/>
  <c r="K29" i="37"/>
  <c r="K11" i="37"/>
  <c r="J23" i="39"/>
  <c r="H29" i="37"/>
  <c r="H27" i="37"/>
  <c r="H34" i="37" s="1"/>
  <c r="T11" i="37"/>
  <c r="H24" i="37"/>
  <c r="L13" i="39"/>
  <c r="E34" i="37"/>
  <c r="F34" i="37" s="1"/>
  <c r="M19" i="39"/>
  <c r="U20" i="37"/>
  <c r="D41" i="38"/>
  <c r="E28" i="38"/>
  <c r="E35" i="38" s="1"/>
  <c r="E37" i="38" s="1"/>
  <c r="D35" i="38"/>
  <c r="M15" i="39"/>
  <c r="U16" i="37"/>
  <c r="T14" i="37"/>
  <c r="T29" i="37" s="1"/>
  <c r="T17" i="37"/>
  <c r="T32" i="37" s="1"/>
  <c r="M10" i="39" l="1"/>
  <c r="L23" i="39"/>
  <c r="M23" i="39" s="1"/>
  <c r="U11" i="37"/>
  <c r="V20" i="37"/>
  <c r="V21" i="37"/>
  <c r="K27" i="37"/>
  <c r="K34" i="37" s="1"/>
  <c r="K24" i="37"/>
  <c r="T27" i="37"/>
  <c r="T34" i="37" s="1"/>
  <c r="T24" i="37"/>
  <c r="V15" i="37"/>
  <c r="U30" i="37"/>
  <c r="V30" i="37" s="1"/>
  <c r="V16" i="37"/>
  <c r="U31" i="37"/>
  <c r="V31" i="37" s="1"/>
  <c r="M13" i="39"/>
  <c r="U14" i="37"/>
  <c r="M16" i="39"/>
  <c r="U17" i="37"/>
  <c r="U28" i="37"/>
  <c r="V28" i="37" s="1"/>
  <c r="V13" i="37"/>
  <c r="V12" i="37"/>
  <c r="V23" i="37"/>
  <c r="U33" i="37"/>
  <c r="V33" i="37" s="1"/>
  <c r="M21" i="39"/>
  <c r="U22" i="37"/>
  <c r="V19" i="37"/>
  <c r="V14" i="37" l="1"/>
  <c r="U29" i="37"/>
  <c r="V29" i="37" s="1"/>
  <c r="V22" i="37"/>
  <c r="U27" i="37"/>
  <c r="U24" i="37"/>
  <c r="V24" i="37" s="1"/>
  <c r="V11" i="37"/>
  <c r="U32" i="37"/>
  <c r="V32" i="37" s="1"/>
  <c r="V17" i="37"/>
  <c r="U34" i="37" l="1"/>
  <c r="V34" i="37" s="1"/>
  <c r="V27" i="37"/>
  <c r="F26" i="2" l="1"/>
  <c r="F26" i="1"/>
  <c r="B36" i="36"/>
  <c r="B35" i="36"/>
  <c r="B34" i="36"/>
  <c r="B33" i="36"/>
  <c r="B32" i="36"/>
  <c r="E31" i="36"/>
  <c r="B31" i="36"/>
  <c r="B30" i="36"/>
  <c r="B29" i="36"/>
  <c r="B25" i="36"/>
  <c r="B24" i="36"/>
  <c r="B23" i="36"/>
  <c r="E22" i="36"/>
  <c r="E23" i="36" s="1"/>
  <c r="E25" i="36" s="1"/>
  <c r="B22" i="36"/>
  <c r="B21" i="36"/>
  <c r="E20" i="36"/>
  <c r="B20" i="36"/>
  <c r="B19" i="36"/>
  <c r="B18" i="36"/>
  <c r="B14" i="36"/>
  <c r="B13" i="36"/>
  <c r="B12" i="36"/>
  <c r="E11" i="36"/>
  <c r="E12" i="36" s="1"/>
  <c r="E14" i="36" s="1"/>
  <c r="B11" i="36"/>
  <c r="E32" i="36"/>
  <c r="B10" i="36"/>
  <c r="B9" i="36"/>
  <c r="B8" i="36"/>
  <c r="B7" i="36"/>
  <c r="E33" i="36" l="1"/>
  <c r="E34" i="36" s="1"/>
  <c r="E36" i="36" s="1"/>
  <c r="M29" i="5"/>
  <c r="L29" i="5"/>
  <c r="K29" i="5"/>
  <c r="J29" i="5"/>
  <c r="I29" i="5"/>
  <c r="H29" i="5"/>
  <c r="G29" i="5"/>
  <c r="F29" i="5"/>
  <c r="E29" i="5"/>
  <c r="D29" i="5"/>
  <c r="C29" i="5"/>
  <c r="B29" i="5"/>
  <c r="M11" i="5"/>
  <c r="L11" i="5"/>
  <c r="K11" i="5"/>
  <c r="J11" i="5"/>
  <c r="I11" i="5"/>
  <c r="H11" i="5"/>
  <c r="G11" i="5"/>
  <c r="F11" i="5"/>
  <c r="E11" i="5"/>
  <c r="D11" i="5"/>
  <c r="C11" i="5"/>
  <c r="B11" i="5"/>
  <c r="D9" i="2" l="1"/>
  <c r="D8" i="2"/>
  <c r="D9" i="9"/>
  <c r="D8" i="9"/>
  <c r="A4" i="9"/>
  <c r="N9" i="8" l="1"/>
  <c r="N10" i="8"/>
  <c r="N11" i="8"/>
  <c r="N12" i="8"/>
  <c r="N13" i="8"/>
  <c r="N14" i="8"/>
  <c r="N15" i="8"/>
  <c r="N16" i="8"/>
  <c r="N17" i="8"/>
  <c r="N18" i="8"/>
  <c r="N19" i="8"/>
  <c r="N20" i="8"/>
  <c r="N21" i="8"/>
  <c r="N8" i="8"/>
  <c r="C22" i="8"/>
  <c r="D22" i="8"/>
  <c r="E22" i="8"/>
  <c r="F22" i="8"/>
  <c r="G22" i="8"/>
  <c r="H22" i="8"/>
  <c r="I22" i="8"/>
  <c r="J22" i="8"/>
  <c r="K22" i="8"/>
  <c r="L22" i="8"/>
  <c r="M22" i="8"/>
  <c r="B22" i="8"/>
  <c r="G80" i="6"/>
  <c r="H80" i="6"/>
  <c r="K80" i="6"/>
  <c r="L80" i="6"/>
  <c r="H81" i="6"/>
  <c r="I81" i="6"/>
  <c r="L81" i="6"/>
  <c r="M81" i="6"/>
  <c r="I82" i="6"/>
  <c r="J82" i="6"/>
  <c r="M82" i="6"/>
  <c r="G84" i="6"/>
  <c r="H84" i="6"/>
  <c r="K84" i="6"/>
  <c r="L84" i="6"/>
  <c r="H85" i="6"/>
  <c r="I85" i="6"/>
  <c r="L85" i="6"/>
  <c r="M85" i="6"/>
  <c r="I86" i="6"/>
  <c r="J86" i="6"/>
  <c r="M86" i="6"/>
  <c r="G87" i="6"/>
  <c r="J87" i="6"/>
  <c r="K87" i="6"/>
  <c r="H89" i="6"/>
  <c r="I89" i="6"/>
  <c r="L89" i="6"/>
  <c r="M89" i="6"/>
  <c r="I90" i="6"/>
  <c r="J90" i="6"/>
  <c r="M90" i="6"/>
  <c r="G91" i="6"/>
  <c r="J91" i="6"/>
  <c r="K91" i="6"/>
  <c r="G92" i="6"/>
  <c r="H92" i="6"/>
  <c r="K92" i="6"/>
  <c r="L92" i="6"/>
  <c r="H93" i="6"/>
  <c r="I93" i="6"/>
  <c r="L93" i="6"/>
  <c r="M93" i="6"/>
  <c r="G79" i="6"/>
  <c r="H79" i="6"/>
  <c r="I79" i="6"/>
  <c r="J79" i="6"/>
  <c r="K79" i="6"/>
  <c r="L79" i="6"/>
  <c r="M79" i="6"/>
  <c r="N63" i="6"/>
  <c r="N64" i="6"/>
  <c r="N65" i="6"/>
  <c r="N76" i="6" s="1"/>
  <c r="N66" i="6"/>
  <c r="N67" i="6"/>
  <c r="N68" i="6"/>
  <c r="N69" i="6"/>
  <c r="N70" i="6"/>
  <c r="N71" i="6"/>
  <c r="N72" i="6"/>
  <c r="N73" i="6"/>
  <c r="N74" i="6"/>
  <c r="N75" i="6"/>
  <c r="N62" i="6"/>
  <c r="C76" i="6"/>
  <c r="D76" i="6"/>
  <c r="E76" i="6"/>
  <c r="F76" i="6"/>
  <c r="G76" i="6"/>
  <c r="H76" i="6"/>
  <c r="I76" i="6"/>
  <c r="J76" i="6"/>
  <c r="K76" i="6"/>
  <c r="L76" i="6"/>
  <c r="M76" i="6"/>
  <c r="B76" i="6"/>
  <c r="G61" i="6"/>
  <c r="H61" i="6"/>
  <c r="I61" i="6"/>
  <c r="J61" i="6"/>
  <c r="K61" i="6"/>
  <c r="L61" i="6"/>
  <c r="M61" i="6"/>
  <c r="N45" i="6"/>
  <c r="N46" i="6"/>
  <c r="N47" i="6"/>
  <c r="N48" i="6"/>
  <c r="N49" i="6"/>
  <c r="N50" i="6"/>
  <c r="N51" i="6"/>
  <c r="N52" i="6"/>
  <c r="N53" i="6"/>
  <c r="N54" i="6"/>
  <c r="N55" i="6"/>
  <c r="N56" i="6"/>
  <c r="N57" i="6"/>
  <c r="N44" i="6"/>
  <c r="C58" i="6"/>
  <c r="D58" i="6"/>
  <c r="E58" i="6"/>
  <c r="F58" i="6"/>
  <c r="G58" i="6"/>
  <c r="H58" i="6"/>
  <c r="I58" i="6"/>
  <c r="J58" i="6"/>
  <c r="K58" i="6"/>
  <c r="L58" i="6"/>
  <c r="M58" i="6"/>
  <c r="B58" i="6"/>
  <c r="G43" i="6"/>
  <c r="H43" i="6"/>
  <c r="I43" i="6"/>
  <c r="J43" i="6"/>
  <c r="K43" i="6"/>
  <c r="L43" i="6"/>
  <c r="M43" i="6"/>
  <c r="N27" i="6"/>
  <c r="N28" i="6"/>
  <c r="N29" i="6"/>
  <c r="N30" i="6"/>
  <c r="N31" i="6"/>
  <c r="N32" i="6"/>
  <c r="N33" i="6"/>
  <c r="N34" i="6"/>
  <c r="N35" i="6"/>
  <c r="N36" i="6"/>
  <c r="N37" i="6"/>
  <c r="N38" i="6"/>
  <c r="N39" i="6"/>
  <c r="N26" i="6"/>
  <c r="C40" i="6"/>
  <c r="D40" i="6"/>
  <c r="E40" i="6"/>
  <c r="F40" i="6"/>
  <c r="G40" i="6"/>
  <c r="H40" i="6"/>
  <c r="I40" i="6"/>
  <c r="J40" i="6"/>
  <c r="K40" i="6"/>
  <c r="L40" i="6"/>
  <c r="M40" i="6"/>
  <c r="B40" i="6"/>
  <c r="G25" i="6"/>
  <c r="H25" i="6"/>
  <c r="I25" i="6"/>
  <c r="J25" i="6"/>
  <c r="K25" i="6"/>
  <c r="L25" i="6"/>
  <c r="M25" i="6"/>
  <c r="G8" i="6"/>
  <c r="H8" i="6"/>
  <c r="I8" i="6"/>
  <c r="I80" i="6" s="1"/>
  <c r="J8" i="6"/>
  <c r="J80" i="6" s="1"/>
  <c r="K8" i="6"/>
  <c r="L8" i="6"/>
  <c r="M8" i="6"/>
  <c r="M80" i="6" s="1"/>
  <c r="G9" i="6"/>
  <c r="G81" i="6" s="1"/>
  <c r="I11" i="10" s="1"/>
  <c r="H9" i="6"/>
  <c r="I9" i="6"/>
  <c r="J9" i="6"/>
  <c r="J81" i="6" s="1"/>
  <c r="K9" i="6"/>
  <c r="K81" i="6" s="1"/>
  <c r="M11" i="10" s="1"/>
  <c r="L9" i="6"/>
  <c r="M9" i="6"/>
  <c r="G10" i="6"/>
  <c r="G82" i="6" s="1"/>
  <c r="H10" i="6"/>
  <c r="H82" i="6" s="1"/>
  <c r="I10" i="6"/>
  <c r="J10" i="6"/>
  <c r="K10" i="6"/>
  <c r="K82" i="6" s="1"/>
  <c r="L10" i="6"/>
  <c r="L82" i="6" s="1"/>
  <c r="M10" i="6"/>
  <c r="G11" i="6"/>
  <c r="G83" i="6" s="1"/>
  <c r="H11" i="6"/>
  <c r="H83" i="6" s="1"/>
  <c r="I11" i="6"/>
  <c r="I83" i="6" s="1"/>
  <c r="J11" i="6"/>
  <c r="J83" i="6" s="1"/>
  <c r="K11" i="6"/>
  <c r="K83" i="6" s="1"/>
  <c r="L11" i="6"/>
  <c r="L83" i="6" s="1"/>
  <c r="M11" i="6"/>
  <c r="M83" i="6" s="1"/>
  <c r="G12" i="6"/>
  <c r="H12" i="6"/>
  <c r="I12" i="6"/>
  <c r="I84" i="6" s="1"/>
  <c r="J12" i="6"/>
  <c r="J84" i="6" s="1"/>
  <c r="K12" i="6"/>
  <c r="L12" i="6"/>
  <c r="M12" i="6"/>
  <c r="M84" i="6" s="1"/>
  <c r="G13" i="6"/>
  <c r="G85" i="6" s="1"/>
  <c r="H13" i="6"/>
  <c r="I13" i="6"/>
  <c r="J13" i="6"/>
  <c r="J85" i="6" s="1"/>
  <c r="K13" i="6"/>
  <c r="K85" i="6" s="1"/>
  <c r="L13" i="6"/>
  <c r="M13" i="6"/>
  <c r="G14" i="6"/>
  <c r="G86" i="6" s="1"/>
  <c r="H14" i="6"/>
  <c r="H86" i="6" s="1"/>
  <c r="I14" i="6"/>
  <c r="J14" i="6"/>
  <c r="K14" i="6"/>
  <c r="K86" i="6" s="1"/>
  <c r="L14" i="6"/>
  <c r="L86" i="6" s="1"/>
  <c r="M14" i="6"/>
  <c r="G15" i="6"/>
  <c r="H15" i="6"/>
  <c r="H87" i="6" s="1"/>
  <c r="I15" i="6"/>
  <c r="I87" i="6" s="1"/>
  <c r="J15" i="6"/>
  <c r="K15" i="6"/>
  <c r="L15" i="6"/>
  <c r="L87" i="6" s="1"/>
  <c r="M15" i="6"/>
  <c r="M87" i="6" s="1"/>
  <c r="G16" i="6"/>
  <c r="G88" i="6" s="1"/>
  <c r="H16" i="6"/>
  <c r="H88" i="6" s="1"/>
  <c r="I16" i="6"/>
  <c r="I88" i="6" s="1"/>
  <c r="J16" i="6"/>
  <c r="J88" i="6" s="1"/>
  <c r="K16" i="6"/>
  <c r="K88" i="6" s="1"/>
  <c r="L16" i="6"/>
  <c r="L88" i="6" s="1"/>
  <c r="M16" i="6"/>
  <c r="M88" i="6" s="1"/>
  <c r="G17" i="6"/>
  <c r="G89" i="6" s="1"/>
  <c r="H17" i="6"/>
  <c r="I17" i="6"/>
  <c r="J17" i="6"/>
  <c r="J89" i="6" s="1"/>
  <c r="K17" i="6"/>
  <c r="K89" i="6" s="1"/>
  <c r="L17" i="6"/>
  <c r="M17" i="6"/>
  <c r="G18" i="6"/>
  <c r="G90" i="6" s="1"/>
  <c r="H18" i="6"/>
  <c r="H90" i="6" s="1"/>
  <c r="I18" i="6"/>
  <c r="J18" i="6"/>
  <c r="K18" i="6"/>
  <c r="K90" i="6" s="1"/>
  <c r="L18" i="6"/>
  <c r="L90" i="6" s="1"/>
  <c r="M18" i="6"/>
  <c r="G19" i="6"/>
  <c r="H19" i="6"/>
  <c r="H91" i="6" s="1"/>
  <c r="I19" i="6"/>
  <c r="I91" i="6" s="1"/>
  <c r="J19" i="6"/>
  <c r="K19" i="6"/>
  <c r="L19" i="6"/>
  <c r="L91" i="6" s="1"/>
  <c r="M19" i="6"/>
  <c r="M91" i="6" s="1"/>
  <c r="G20" i="6"/>
  <c r="H20" i="6"/>
  <c r="I20" i="6"/>
  <c r="I92" i="6" s="1"/>
  <c r="J20" i="6"/>
  <c r="J92" i="6" s="1"/>
  <c r="K20" i="6"/>
  <c r="L20" i="6"/>
  <c r="M20" i="6"/>
  <c r="M92" i="6" s="1"/>
  <c r="G21" i="6"/>
  <c r="G93" i="6" s="1"/>
  <c r="H21" i="6"/>
  <c r="I21" i="6"/>
  <c r="J21" i="6"/>
  <c r="J93" i="6" s="1"/>
  <c r="K21" i="6"/>
  <c r="K93" i="6" s="1"/>
  <c r="L21" i="6"/>
  <c r="M21" i="6"/>
  <c r="G115" i="7"/>
  <c r="H115" i="7"/>
  <c r="I115" i="7"/>
  <c r="J115" i="7"/>
  <c r="K115" i="7"/>
  <c r="L115" i="7"/>
  <c r="M115" i="7"/>
  <c r="C112" i="7"/>
  <c r="D112" i="7"/>
  <c r="E112" i="7"/>
  <c r="F112" i="7"/>
  <c r="G112" i="7"/>
  <c r="H112" i="7"/>
  <c r="I112" i="7"/>
  <c r="J112" i="7"/>
  <c r="K112" i="7"/>
  <c r="L112" i="7"/>
  <c r="M112" i="7"/>
  <c r="B112" i="7"/>
  <c r="N99" i="7"/>
  <c r="N100" i="7"/>
  <c r="N101" i="7"/>
  <c r="N102" i="7"/>
  <c r="N103" i="7"/>
  <c r="N104" i="7"/>
  <c r="N105" i="7"/>
  <c r="N106" i="7"/>
  <c r="N107" i="7"/>
  <c r="N108" i="7"/>
  <c r="N109" i="7"/>
  <c r="N110" i="7"/>
  <c r="N111" i="7"/>
  <c r="N98" i="7"/>
  <c r="G97" i="7"/>
  <c r="H97" i="7"/>
  <c r="I97" i="7"/>
  <c r="J97" i="7"/>
  <c r="K97" i="7"/>
  <c r="L97" i="7"/>
  <c r="M97" i="7"/>
  <c r="C94" i="7"/>
  <c r="D94" i="7"/>
  <c r="E94" i="7"/>
  <c r="F94" i="7"/>
  <c r="G94" i="7"/>
  <c r="H94" i="7"/>
  <c r="I94" i="7"/>
  <c r="J94" i="7"/>
  <c r="K94" i="7"/>
  <c r="L94" i="7"/>
  <c r="M94" i="7"/>
  <c r="B94" i="7"/>
  <c r="N81" i="7"/>
  <c r="N82" i="7"/>
  <c r="N83" i="7"/>
  <c r="N84" i="7"/>
  <c r="N85" i="7"/>
  <c r="N86" i="7"/>
  <c r="N87" i="7"/>
  <c r="N88" i="7"/>
  <c r="N89" i="7"/>
  <c r="N90" i="7"/>
  <c r="N91" i="7"/>
  <c r="N92" i="7"/>
  <c r="N93" i="7"/>
  <c r="N80" i="7"/>
  <c r="G79" i="7"/>
  <c r="H79" i="7"/>
  <c r="I79" i="7"/>
  <c r="J79" i="7"/>
  <c r="K79" i="7"/>
  <c r="L79" i="7"/>
  <c r="M79" i="7"/>
  <c r="C76" i="7"/>
  <c r="D76" i="7"/>
  <c r="E76" i="7"/>
  <c r="F76" i="7"/>
  <c r="G76" i="7"/>
  <c r="H76" i="7"/>
  <c r="I76" i="7"/>
  <c r="J76" i="7"/>
  <c r="K76" i="7"/>
  <c r="L76" i="7"/>
  <c r="M76" i="7"/>
  <c r="B76" i="7"/>
  <c r="N63" i="7"/>
  <c r="N76" i="7" s="1"/>
  <c r="N64" i="7"/>
  <c r="N65" i="7"/>
  <c r="N66" i="7"/>
  <c r="N67" i="7"/>
  <c r="N68" i="7"/>
  <c r="N69" i="7"/>
  <c r="N70" i="7"/>
  <c r="N71" i="7"/>
  <c r="N72" i="7"/>
  <c r="N73" i="7"/>
  <c r="N74" i="7"/>
  <c r="N75" i="7"/>
  <c r="N62" i="7"/>
  <c r="G61" i="7"/>
  <c r="H61" i="7"/>
  <c r="I61" i="7"/>
  <c r="J61" i="7"/>
  <c r="K61" i="7"/>
  <c r="L61" i="7"/>
  <c r="M61" i="7"/>
  <c r="G43" i="7"/>
  <c r="H43" i="7"/>
  <c r="I43" i="7"/>
  <c r="J43" i="7"/>
  <c r="K43" i="7"/>
  <c r="L43" i="7"/>
  <c r="M43" i="7"/>
  <c r="C58" i="7"/>
  <c r="D58" i="7"/>
  <c r="E58" i="7"/>
  <c r="F58" i="7"/>
  <c r="G58" i="7"/>
  <c r="H58" i="7"/>
  <c r="I58" i="7"/>
  <c r="J58" i="7"/>
  <c r="K58" i="7"/>
  <c r="L58" i="7"/>
  <c r="M58" i="7"/>
  <c r="B58" i="7"/>
  <c r="N45" i="7"/>
  <c r="N46" i="7"/>
  <c r="N47" i="7"/>
  <c r="N48" i="7"/>
  <c r="N49" i="7"/>
  <c r="N50" i="7"/>
  <c r="N51" i="7"/>
  <c r="N52" i="7"/>
  <c r="N53" i="7"/>
  <c r="N54" i="7"/>
  <c r="N55" i="7"/>
  <c r="N56" i="7"/>
  <c r="N57" i="7"/>
  <c r="N44" i="7"/>
  <c r="G25" i="7"/>
  <c r="H25" i="7"/>
  <c r="I25" i="7"/>
  <c r="J25" i="7"/>
  <c r="K25" i="7"/>
  <c r="L25" i="7"/>
  <c r="M25" i="7"/>
  <c r="N34" i="7"/>
  <c r="N29" i="7"/>
  <c r="C40" i="7"/>
  <c r="D40" i="7"/>
  <c r="E40" i="7"/>
  <c r="F40" i="7"/>
  <c r="G40" i="7"/>
  <c r="H40" i="7"/>
  <c r="I40" i="7"/>
  <c r="J40" i="7"/>
  <c r="K40" i="7"/>
  <c r="L40" i="7"/>
  <c r="M40" i="7"/>
  <c r="B40" i="7"/>
  <c r="N27" i="7"/>
  <c r="N28" i="7"/>
  <c r="N30" i="7"/>
  <c r="N31" i="7"/>
  <c r="N32" i="7"/>
  <c r="N33" i="7"/>
  <c r="N35" i="7"/>
  <c r="N36" i="7"/>
  <c r="N37" i="7"/>
  <c r="N38" i="7"/>
  <c r="N39" i="7"/>
  <c r="N26" i="7"/>
  <c r="C8" i="7"/>
  <c r="D8" i="7"/>
  <c r="E8" i="7"/>
  <c r="F8" i="7"/>
  <c r="G8" i="7"/>
  <c r="H8" i="7"/>
  <c r="I8" i="7"/>
  <c r="I116" i="7" s="1"/>
  <c r="J8" i="7"/>
  <c r="J116" i="7" s="1"/>
  <c r="K8" i="7"/>
  <c r="K116" i="7" s="1"/>
  <c r="L8" i="7"/>
  <c r="M8" i="7"/>
  <c r="M116" i="7" s="1"/>
  <c r="C9" i="7"/>
  <c r="D9" i="7"/>
  <c r="E9" i="7"/>
  <c r="F9" i="7"/>
  <c r="G9" i="7"/>
  <c r="G117" i="7" s="1"/>
  <c r="H9" i="7"/>
  <c r="H117" i="7" s="1"/>
  <c r="I9" i="7"/>
  <c r="I117" i="7" s="1"/>
  <c r="J9" i="7"/>
  <c r="J117" i="7" s="1"/>
  <c r="K9" i="7"/>
  <c r="K117" i="7" s="1"/>
  <c r="L9" i="7"/>
  <c r="L117" i="7" s="1"/>
  <c r="M9" i="7"/>
  <c r="M117" i="7" s="1"/>
  <c r="C10" i="7"/>
  <c r="D10" i="7"/>
  <c r="E10" i="7"/>
  <c r="F10" i="7"/>
  <c r="G10" i="7"/>
  <c r="G118" i="7" s="1"/>
  <c r="H10" i="7"/>
  <c r="H118" i="7" s="1"/>
  <c r="I10" i="7"/>
  <c r="I118" i="7" s="1"/>
  <c r="J10" i="7"/>
  <c r="J118" i="7" s="1"/>
  <c r="K10" i="7"/>
  <c r="K118" i="7" s="1"/>
  <c r="L10" i="7"/>
  <c r="L118" i="7" s="1"/>
  <c r="M10" i="7"/>
  <c r="M118" i="7" s="1"/>
  <c r="C11" i="7"/>
  <c r="D11" i="7"/>
  <c r="E11" i="7"/>
  <c r="F11" i="7"/>
  <c r="G11" i="7"/>
  <c r="H11" i="7"/>
  <c r="H119" i="7" s="1"/>
  <c r="I11" i="7"/>
  <c r="I119" i="7" s="1"/>
  <c r="J11" i="7"/>
  <c r="J119" i="7" s="1"/>
  <c r="K11" i="7"/>
  <c r="K119" i="7" s="1"/>
  <c r="L11" i="7"/>
  <c r="L119" i="7" s="1"/>
  <c r="M11" i="7"/>
  <c r="M119" i="7" s="1"/>
  <c r="C12" i="7"/>
  <c r="D12" i="7"/>
  <c r="E12" i="7"/>
  <c r="F12" i="7"/>
  <c r="G12" i="7"/>
  <c r="G120" i="7" s="1"/>
  <c r="H12" i="7"/>
  <c r="H120" i="7" s="1"/>
  <c r="I12" i="7"/>
  <c r="I120" i="7" s="1"/>
  <c r="J12" i="7"/>
  <c r="J120" i="7" s="1"/>
  <c r="K12" i="7"/>
  <c r="K120" i="7" s="1"/>
  <c r="L12" i="7"/>
  <c r="L120" i="7" s="1"/>
  <c r="M12" i="7"/>
  <c r="M120" i="7" s="1"/>
  <c r="C13" i="7"/>
  <c r="D13" i="7"/>
  <c r="E13" i="7"/>
  <c r="F13" i="7"/>
  <c r="G13" i="7"/>
  <c r="G121" i="7" s="1"/>
  <c r="H13" i="7"/>
  <c r="H121" i="7" s="1"/>
  <c r="I13" i="7"/>
  <c r="I121" i="7" s="1"/>
  <c r="J13" i="7"/>
  <c r="J121" i="7" s="1"/>
  <c r="K13" i="7"/>
  <c r="K121" i="7" s="1"/>
  <c r="L13" i="7"/>
  <c r="L121" i="7" s="1"/>
  <c r="M13" i="7"/>
  <c r="M121" i="7" s="1"/>
  <c r="C14" i="7"/>
  <c r="D14" i="7"/>
  <c r="E14" i="7"/>
  <c r="F14" i="7"/>
  <c r="G14" i="7"/>
  <c r="G122" i="7" s="1"/>
  <c r="H14" i="7"/>
  <c r="H122" i="7" s="1"/>
  <c r="I14" i="7"/>
  <c r="I122" i="7" s="1"/>
  <c r="J14" i="7"/>
  <c r="J122" i="7" s="1"/>
  <c r="K14" i="7"/>
  <c r="K122" i="7" s="1"/>
  <c r="L14" i="7"/>
  <c r="L122" i="7" s="1"/>
  <c r="M14" i="7"/>
  <c r="M122" i="7" s="1"/>
  <c r="C15" i="7"/>
  <c r="D15" i="7"/>
  <c r="E15" i="7"/>
  <c r="F15" i="7"/>
  <c r="G15" i="7"/>
  <c r="G123" i="7" s="1"/>
  <c r="H15" i="7"/>
  <c r="H123" i="7" s="1"/>
  <c r="I15" i="7"/>
  <c r="I123" i="7" s="1"/>
  <c r="J15" i="7"/>
  <c r="J123" i="7" s="1"/>
  <c r="K15" i="7"/>
  <c r="K123" i="7" s="1"/>
  <c r="L15" i="7"/>
  <c r="L123" i="7" s="1"/>
  <c r="M15" i="7"/>
  <c r="M123" i="7" s="1"/>
  <c r="C16" i="7"/>
  <c r="D16" i="7"/>
  <c r="E16" i="7"/>
  <c r="F16" i="7"/>
  <c r="G16" i="7"/>
  <c r="G124" i="7" s="1"/>
  <c r="H16" i="7"/>
  <c r="H124" i="7" s="1"/>
  <c r="I16" i="7"/>
  <c r="I124" i="7" s="1"/>
  <c r="J16" i="7"/>
  <c r="J124" i="7" s="1"/>
  <c r="K16" i="7"/>
  <c r="K124" i="7" s="1"/>
  <c r="L16" i="7"/>
  <c r="L124" i="7" s="1"/>
  <c r="M16" i="7"/>
  <c r="M124" i="7" s="1"/>
  <c r="C17" i="7"/>
  <c r="D17" i="7"/>
  <c r="E17" i="7"/>
  <c r="F17" i="7"/>
  <c r="G17" i="7"/>
  <c r="G125" i="7" s="1"/>
  <c r="H17" i="7"/>
  <c r="H125" i="7" s="1"/>
  <c r="I17" i="7"/>
  <c r="I125" i="7" s="1"/>
  <c r="J17" i="7"/>
  <c r="J125" i="7" s="1"/>
  <c r="K17" i="7"/>
  <c r="K125" i="7" s="1"/>
  <c r="L17" i="7"/>
  <c r="L125" i="7" s="1"/>
  <c r="M17" i="7"/>
  <c r="M125" i="7" s="1"/>
  <c r="C18" i="7"/>
  <c r="D18" i="7"/>
  <c r="E18" i="7"/>
  <c r="F18" i="7"/>
  <c r="G18" i="7"/>
  <c r="G126" i="7" s="1"/>
  <c r="H18" i="7"/>
  <c r="H126" i="7" s="1"/>
  <c r="I18" i="7"/>
  <c r="I126" i="7" s="1"/>
  <c r="J18" i="7"/>
  <c r="J126" i="7" s="1"/>
  <c r="K18" i="7"/>
  <c r="K126" i="7" s="1"/>
  <c r="L18" i="7"/>
  <c r="L126" i="7" s="1"/>
  <c r="M18" i="7"/>
  <c r="M126" i="7" s="1"/>
  <c r="C19" i="7"/>
  <c r="D19" i="7"/>
  <c r="E19" i="7"/>
  <c r="F19" i="7"/>
  <c r="G19" i="7"/>
  <c r="G127" i="7" s="1"/>
  <c r="H19" i="7"/>
  <c r="H127" i="7" s="1"/>
  <c r="I19" i="7"/>
  <c r="I127" i="7" s="1"/>
  <c r="J19" i="7"/>
  <c r="J127" i="7" s="1"/>
  <c r="K19" i="7"/>
  <c r="K127" i="7" s="1"/>
  <c r="L19" i="7"/>
  <c r="L127" i="7" s="1"/>
  <c r="M19" i="7"/>
  <c r="M127" i="7" s="1"/>
  <c r="C20" i="7"/>
  <c r="D20" i="7"/>
  <c r="E20" i="7"/>
  <c r="F20" i="7"/>
  <c r="G20" i="7"/>
  <c r="G128" i="7" s="1"/>
  <c r="H20" i="7"/>
  <c r="H128" i="7" s="1"/>
  <c r="I20" i="7"/>
  <c r="I128" i="7" s="1"/>
  <c r="J20" i="7"/>
  <c r="J128" i="7" s="1"/>
  <c r="K20" i="7"/>
  <c r="K128" i="7" s="1"/>
  <c r="L20" i="7"/>
  <c r="L128" i="7" s="1"/>
  <c r="M20" i="7"/>
  <c r="M128" i="7" s="1"/>
  <c r="C21" i="7"/>
  <c r="D21" i="7"/>
  <c r="E21" i="7"/>
  <c r="F21" i="7"/>
  <c r="G21" i="7"/>
  <c r="G129" i="7" s="1"/>
  <c r="H21" i="7"/>
  <c r="H129" i="7" s="1"/>
  <c r="I21" i="7"/>
  <c r="I129" i="7" s="1"/>
  <c r="J21" i="7"/>
  <c r="J129" i="7" s="1"/>
  <c r="K21" i="7"/>
  <c r="K129" i="7" s="1"/>
  <c r="L21" i="7"/>
  <c r="L129" i="7" s="1"/>
  <c r="M21" i="7"/>
  <c r="M129" i="7" s="1"/>
  <c r="B9" i="7"/>
  <c r="B10" i="7"/>
  <c r="B11" i="7"/>
  <c r="B12" i="7"/>
  <c r="B13" i="7"/>
  <c r="B14" i="7"/>
  <c r="B15" i="7"/>
  <c r="B16" i="7"/>
  <c r="B17" i="7"/>
  <c r="B18" i="7"/>
  <c r="B19" i="7"/>
  <c r="B20" i="7"/>
  <c r="B21" i="7"/>
  <c r="N14" i="7"/>
  <c r="G7" i="7"/>
  <c r="H7" i="7" s="1"/>
  <c r="I7" i="7" s="1"/>
  <c r="J7" i="7" s="1"/>
  <c r="K7" i="7" s="1"/>
  <c r="L7" i="7" s="1"/>
  <c r="M7" i="7" s="1"/>
  <c r="A4" i="5"/>
  <c r="N94" i="7" l="1"/>
  <c r="N22" i="8"/>
  <c r="H22" i="6"/>
  <c r="K22" i="6"/>
  <c r="L22" i="6"/>
  <c r="G22" i="6"/>
  <c r="G95" i="6" s="1"/>
  <c r="J22" i="6"/>
  <c r="M22" i="6"/>
  <c r="I22" i="6"/>
  <c r="H94" i="6"/>
  <c r="N58" i="6"/>
  <c r="K94" i="6"/>
  <c r="G94" i="6"/>
  <c r="J94" i="6"/>
  <c r="L94" i="6"/>
  <c r="M94" i="6"/>
  <c r="I94" i="6"/>
  <c r="L11" i="10"/>
  <c r="O11" i="10"/>
  <c r="K11" i="10"/>
  <c r="N11" i="10"/>
  <c r="J11" i="10"/>
  <c r="N11" i="7"/>
  <c r="C22" i="7"/>
  <c r="N58" i="7"/>
  <c r="N40" i="7"/>
  <c r="N112" i="7"/>
  <c r="M130" i="7"/>
  <c r="I130" i="7"/>
  <c r="J130" i="7"/>
  <c r="H22" i="7"/>
  <c r="K22" i="7"/>
  <c r="N20" i="7"/>
  <c r="G22" i="7"/>
  <c r="L22" i="7"/>
  <c r="K130" i="7"/>
  <c r="N17" i="7"/>
  <c r="N13" i="7"/>
  <c r="N9" i="7"/>
  <c r="F22" i="7"/>
  <c r="G119" i="7"/>
  <c r="L116" i="7"/>
  <c r="L130" i="7" s="1"/>
  <c r="H116" i="7"/>
  <c r="H130" i="7" s="1"/>
  <c r="D22" i="7"/>
  <c r="N21" i="7"/>
  <c r="N19" i="7"/>
  <c r="N18" i="7"/>
  <c r="N12" i="7"/>
  <c r="N10" i="7"/>
  <c r="M22" i="7"/>
  <c r="I22" i="7"/>
  <c r="E22" i="7"/>
  <c r="G116" i="7"/>
  <c r="G130" i="7" s="1"/>
  <c r="N40" i="6"/>
  <c r="J22" i="7"/>
  <c r="N16" i="7"/>
  <c r="N15" i="7"/>
  <c r="G131" i="7" l="1"/>
  <c r="K131" i="7"/>
  <c r="M131" i="7"/>
  <c r="L131" i="7"/>
  <c r="J131" i="7"/>
  <c r="I131" i="7"/>
  <c r="H131" i="7"/>
  <c r="L95" i="6"/>
  <c r="I95" i="6"/>
  <c r="M95" i="6"/>
  <c r="K95" i="6"/>
  <c r="J95" i="6"/>
  <c r="H95" i="6"/>
  <c r="N27" i="5"/>
  <c r="N28" i="5"/>
  <c r="N29" i="5"/>
  <c r="N30" i="5"/>
  <c r="N31" i="5"/>
  <c r="N32" i="5"/>
  <c r="N33" i="5"/>
  <c r="N34" i="5"/>
  <c r="N35" i="5"/>
  <c r="N36" i="5"/>
  <c r="N37" i="5"/>
  <c r="N38" i="5"/>
  <c r="N39" i="5"/>
  <c r="N26" i="5"/>
  <c r="C44" i="5"/>
  <c r="D44" i="5"/>
  <c r="E44" i="5"/>
  <c r="F44" i="5"/>
  <c r="G44" i="5"/>
  <c r="H44" i="5"/>
  <c r="I44" i="5"/>
  <c r="J44" i="5"/>
  <c r="K44" i="5"/>
  <c r="L44" i="5"/>
  <c r="M44" i="5"/>
  <c r="G43" i="5"/>
  <c r="H43" i="5"/>
  <c r="I43" i="5"/>
  <c r="J43" i="5"/>
  <c r="K43" i="5"/>
  <c r="L43" i="5"/>
  <c r="M43" i="5"/>
  <c r="G25" i="5"/>
  <c r="H25" i="5"/>
  <c r="I25" i="5"/>
  <c r="J25" i="5"/>
  <c r="K25" i="5"/>
  <c r="L25" i="5"/>
  <c r="M25" i="5"/>
  <c r="C40" i="5"/>
  <c r="D40" i="5"/>
  <c r="E40" i="5"/>
  <c r="F40" i="5"/>
  <c r="G40" i="5"/>
  <c r="H40" i="5"/>
  <c r="I40" i="5"/>
  <c r="J40" i="5"/>
  <c r="K40" i="5"/>
  <c r="L40" i="5"/>
  <c r="M40" i="5"/>
  <c r="B40" i="5"/>
  <c r="C22" i="5"/>
  <c r="D22" i="5"/>
  <c r="E22" i="5"/>
  <c r="F22" i="5"/>
  <c r="G22" i="5"/>
  <c r="H22" i="5"/>
  <c r="I22" i="5"/>
  <c r="J22" i="5"/>
  <c r="K22" i="5"/>
  <c r="L22" i="5"/>
  <c r="M22" i="5"/>
  <c r="B22" i="5"/>
  <c r="N9" i="5"/>
  <c r="N10" i="5"/>
  <c r="N11" i="5"/>
  <c r="N12" i="5"/>
  <c r="N13" i="5"/>
  <c r="N14" i="5"/>
  <c r="N15" i="5"/>
  <c r="N16" i="5"/>
  <c r="N17" i="5"/>
  <c r="N18" i="5"/>
  <c r="N19" i="5"/>
  <c r="N20" i="5"/>
  <c r="N21" i="5"/>
  <c r="N8" i="5"/>
  <c r="G7" i="5"/>
  <c r="H7" i="5"/>
  <c r="I7" i="5"/>
  <c r="J7" i="5"/>
  <c r="K7" i="5" s="1"/>
  <c r="L7" i="5" s="1"/>
  <c r="M7" i="5" s="1"/>
  <c r="N22" i="5" l="1"/>
  <c r="N40" i="5"/>
  <c r="A2" i="9" l="1"/>
  <c r="B8" i="7" l="1"/>
  <c r="B44" i="5"/>
  <c r="N44" i="5" s="1"/>
  <c r="B22" i="7" l="1"/>
  <c r="N8" i="7"/>
  <c r="N22" i="7" s="1"/>
  <c r="G12" i="2"/>
  <c r="A10" i="10" l="1"/>
  <c r="A11" i="10" s="1"/>
  <c r="A12" i="10" s="1"/>
  <c r="A13" i="10" s="1"/>
  <c r="A14" i="10" s="1"/>
  <c r="A15" i="10" s="1"/>
  <c r="A16" i="10" s="1"/>
  <c r="A17" i="10" s="1"/>
  <c r="E7" i="10"/>
  <c r="F7" i="10" s="1"/>
  <c r="G7" i="10" s="1"/>
  <c r="H7" i="10" s="1"/>
  <c r="I7" i="10" s="1"/>
  <c r="J7" i="10" s="1"/>
  <c r="K7" i="10" s="1"/>
  <c r="L7" i="10" s="1"/>
  <c r="M7" i="10" s="1"/>
  <c r="N7" i="10" s="1"/>
  <c r="O7" i="10" s="1"/>
  <c r="A4" i="10" l="1"/>
  <c r="A2" i="10"/>
  <c r="D11" i="9" l="1"/>
  <c r="C7" i="8"/>
  <c r="A2" i="8"/>
  <c r="D7" i="8" l="1"/>
  <c r="E7" i="8" l="1"/>
  <c r="C8" i="6"/>
  <c r="D8" i="6"/>
  <c r="E8" i="6"/>
  <c r="F8" i="6"/>
  <c r="C9" i="6"/>
  <c r="C81" i="6" s="1"/>
  <c r="D9" i="6"/>
  <c r="D81" i="6" s="1"/>
  <c r="E9" i="6"/>
  <c r="E81" i="6" s="1"/>
  <c r="F9" i="6"/>
  <c r="C10" i="6"/>
  <c r="D10" i="6"/>
  <c r="D82" i="6" s="1"/>
  <c r="E10" i="6"/>
  <c r="E82" i="6" s="1"/>
  <c r="F10" i="6"/>
  <c r="F82" i="6" s="1"/>
  <c r="C11" i="6"/>
  <c r="C83" i="6" s="1"/>
  <c r="D11" i="6"/>
  <c r="D83" i="6" s="1"/>
  <c r="E11" i="6"/>
  <c r="E83" i="6" s="1"/>
  <c r="F11" i="6"/>
  <c r="C12" i="6"/>
  <c r="D12" i="6"/>
  <c r="E12" i="6"/>
  <c r="E84" i="6" s="1"/>
  <c r="F12" i="6"/>
  <c r="F84" i="6" s="1"/>
  <c r="C13" i="6"/>
  <c r="C85" i="6" s="1"/>
  <c r="D13" i="6"/>
  <c r="D85" i="6" s="1"/>
  <c r="E13" i="6"/>
  <c r="E85" i="6" s="1"/>
  <c r="F13" i="6"/>
  <c r="C14" i="6"/>
  <c r="D14" i="6"/>
  <c r="D86" i="6" s="1"/>
  <c r="E14" i="6"/>
  <c r="E86" i="6" s="1"/>
  <c r="F14" i="6"/>
  <c r="F86" i="6" s="1"/>
  <c r="C15" i="6"/>
  <c r="C87" i="6" s="1"/>
  <c r="D15" i="6"/>
  <c r="D87" i="6" s="1"/>
  <c r="E15" i="6"/>
  <c r="E87" i="6" s="1"/>
  <c r="F15" i="6"/>
  <c r="C16" i="6"/>
  <c r="C88" i="6" s="1"/>
  <c r="D16" i="6"/>
  <c r="D88" i="6" s="1"/>
  <c r="E16" i="6"/>
  <c r="E88" i="6" s="1"/>
  <c r="F16" i="6"/>
  <c r="F88" i="6" s="1"/>
  <c r="C17" i="6"/>
  <c r="C89" i="6" s="1"/>
  <c r="D17" i="6"/>
  <c r="D89" i="6" s="1"/>
  <c r="E17" i="6"/>
  <c r="E89" i="6" s="1"/>
  <c r="F17" i="6"/>
  <c r="C18" i="6"/>
  <c r="D18" i="6"/>
  <c r="D90" i="6" s="1"/>
  <c r="E18" i="6"/>
  <c r="E90" i="6" s="1"/>
  <c r="F18" i="6"/>
  <c r="F90" i="6" s="1"/>
  <c r="C19" i="6"/>
  <c r="C91" i="6" s="1"/>
  <c r="D19" i="6"/>
  <c r="D91" i="6" s="1"/>
  <c r="E19" i="6"/>
  <c r="E91" i="6" s="1"/>
  <c r="F19" i="6"/>
  <c r="C20" i="6"/>
  <c r="D20" i="6"/>
  <c r="D92" i="6" s="1"/>
  <c r="E20" i="6"/>
  <c r="E92" i="6" s="1"/>
  <c r="F20" i="6"/>
  <c r="F92" i="6" s="1"/>
  <c r="C21" i="6"/>
  <c r="C93" i="6" s="1"/>
  <c r="D21" i="6"/>
  <c r="D93" i="6" s="1"/>
  <c r="E21" i="6"/>
  <c r="E93" i="6" s="1"/>
  <c r="F21" i="6"/>
  <c r="B9" i="6"/>
  <c r="B10" i="6"/>
  <c r="B11" i="6"/>
  <c r="B12" i="6"/>
  <c r="B13" i="6"/>
  <c r="B14" i="6"/>
  <c r="B15" i="6"/>
  <c r="B16" i="6"/>
  <c r="B17" i="6"/>
  <c r="B18" i="6"/>
  <c r="B19" i="6"/>
  <c r="B20" i="6"/>
  <c r="B21" i="6"/>
  <c r="B8" i="6"/>
  <c r="C116" i="7"/>
  <c r="D116" i="7"/>
  <c r="E116" i="7"/>
  <c r="F116" i="7"/>
  <c r="C117" i="7"/>
  <c r="D117" i="7"/>
  <c r="E117" i="7"/>
  <c r="F117" i="7"/>
  <c r="C118" i="7"/>
  <c r="D118" i="7"/>
  <c r="E118" i="7"/>
  <c r="F118" i="7"/>
  <c r="C119" i="7"/>
  <c r="D119" i="7"/>
  <c r="E119" i="7"/>
  <c r="F119" i="7"/>
  <c r="C120" i="7"/>
  <c r="D120" i="7"/>
  <c r="E120" i="7"/>
  <c r="F120" i="7"/>
  <c r="C121" i="7"/>
  <c r="E121" i="7"/>
  <c r="F121" i="7"/>
  <c r="C122" i="7"/>
  <c r="D122" i="7"/>
  <c r="E122" i="7"/>
  <c r="F122" i="7"/>
  <c r="C123" i="7"/>
  <c r="D123" i="7"/>
  <c r="E123" i="7"/>
  <c r="F123" i="7"/>
  <c r="C124" i="7"/>
  <c r="D124" i="7"/>
  <c r="E124" i="7"/>
  <c r="F124" i="7"/>
  <c r="C125" i="7"/>
  <c r="D125" i="7"/>
  <c r="E125" i="7"/>
  <c r="F125" i="7"/>
  <c r="C126" i="7"/>
  <c r="D126" i="7"/>
  <c r="E126" i="7"/>
  <c r="F126" i="7"/>
  <c r="C127" i="7"/>
  <c r="D127" i="7"/>
  <c r="E127" i="7"/>
  <c r="F127" i="7"/>
  <c r="C128" i="7"/>
  <c r="D128" i="7"/>
  <c r="E128" i="7"/>
  <c r="F128" i="7"/>
  <c r="C129" i="7"/>
  <c r="D129" i="7"/>
  <c r="E129" i="7"/>
  <c r="F129" i="7"/>
  <c r="B117" i="7"/>
  <c r="B118" i="7"/>
  <c r="N118" i="7" s="1"/>
  <c r="B119" i="7"/>
  <c r="B120" i="7"/>
  <c r="B121" i="7"/>
  <c r="B122" i="7"/>
  <c r="B123" i="7"/>
  <c r="B124" i="7"/>
  <c r="B125" i="7"/>
  <c r="B126" i="7"/>
  <c r="N126" i="7" s="1"/>
  <c r="B127" i="7"/>
  <c r="B128" i="7"/>
  <c r="B129" i="7"/>
  <c r="B116" i="7"/>
  <c r="B115" i="7"/>
  <c r="B61" i="7"/>
  <c r="B43" i="7"/>
  <c r="B97" i="7" s="1"/>
  <c r="B25" i="7"/>
  <c r="B79" i="7" s="1"/>
  <c r="C7" i="7"/>
  <c r="C43" i="7" s="1"/>
  <c r="C97" i="7" s="1"/>
  <c r="A2" i="7"/>
  <c r="B79" i="6"/>
  <c r="B61" i="6"/>
  <c r="B43" i="6"/>
  <c r="B25" i="6"/>
  <c r="C80" i="6"/>
  <c r="D80" i="6"/>
  <c r="F81" i="6"/>
  <c r="H11" i="10" s="1"/>
  <c r="C82" i="6"/>
  <c r="F83" i="6"/>
  <c r="C84" i="6"/>
  <c r="D84" i="6"/>
  <c r="F85" i="6"/>
  <c r="C86" i="6"/>
  <c r="F87" i="6"/>
  <c r="F89" i="6"/>
  <c r="C90" i="6"/>
  <c r="F91" i="6"/>
  <c r="C92" i="6"/>
  <c r="F93" i="6"/>
  <c r="B81" i="6"/>
  <c r="N81" i="6" s="1"/>
  <c r="B88" i="6"/>
  <c r="B89" i="6"/>
  <c r="B90" i="6"/>
  <c r="N116" i="7" l="1"/>
  <c r="N122" i="7"/>
  <c r="D94" i="6"/>
  <c r="B91" i="6"/>
  <c r="N91" i="6" s="1"/>
  <c r="N19" i="6"/>
  <c r="B83" i="6"/>
  <c r="P15" i="10" s="1"/>
  <c r="F16" i="10" s="1"/>
  <c r="N11" i="6"/>
  <c r="B80" i="6"/>
  <c r="N8" i="6"/>
  <c r="B22" i="6"/>
  <c r="N18" i="6"/>
  <c r="B86" i="6"/>
  <c r="N14" i="6"/>
  <c r="B82" i="6"/>
  <c r="N82" i="6" s="1"/>
  <c r="N10" i="6"/>
  <c r="D22" i="6"/>
  <c r="D95" i="6" s="1"/>
  <c r="B87" i="6"/>
  <c r="N15" i="6"/>
  <c r="B93" i="6"/>
  <c r="N93" i="6" s="1"/>
  <c r="N21" i="6"/>
  <c r="N17" i="6"/>
  <c r="B85" i="6"/>
  <c r="N85" i="6" s="1"/>
  <c r="N13" i="6"/>
  <c r="N9" i="6"/>
  <c r="C22" i="6"/>
  <c r="C95" i="6" s="1"/>
  <c r="E80" i="6"/>
  <c r="E22" i="6"/>
  <c r="B92" i="6"/>
  <c r="N20" i="6"/>
  <c r="N16" i="6"/>
  <c r="B84" i="6"/>
  <c r="N12" i="6"/>
  <c r="F80" i="6"/>
  <c r="F22" i="6"/>
  <c r="F95" i="6" s="1"/>
  <c r="N87" i="6"/>
  <c r="G11" i="10"/>
  <c r="E94" i="6"/>
  <c r="N90" i="6"/>
  <c r="C94" i="6"/>
  <c r="N80" i="6"/>
  <c r="N86" i="6"/>
  <c r="F11" i="10"/>
  <c r="N89" i="6"/>
  <c r="E11" i="10"/>
  <c r="N88" i="6"/>
  <c r="N92" i="6"/>
  <c r="F94" i="6"/>
  <c r="N129" i="7"/>
  <c r="N125" i="7"/>
  <c r="F130" i="7"/>
  <c r="F131" i="7" s="1"/>
  <c r="N128" i="7"/>
  <c r="N124" i="7"/>
  <c r="N120" i="7"/>
  <c r="E130" i="7"/>
  <c r="E131" i="7" s="1"/>
  <c r="C130" i="7"/>
  <c r="C131" i="7" s="1"/>
  <c r="N127" i="7"/>
  <c r="N123" i="7"/>
  <c r="N119" i="7"/>
  <c r="N117" i="7"/>
  <c r="B130" i="7"/>
  <c r="B131" i="7" s="1"/>
  <c r="D121" i="7"/>
  <c r="D130" i="7" s="1"/>
  <c r="D131" i="7" s="1"/>
  <c r="F7" i="8"/>
  <c r="G7" i="8" s="1"/>
  <c r="H7" i="8" s="1"/>
  <c r="I7" i="8" s="1"/>
  <c r="J7" i="8" s="1"/>
  <c r="K7" i="8" s="1"/>
  <c r="L7" i="8" s="1"/>
  <c r="M7" i="8" s="1"/>
  <c r="C61" i="7"/>
  <c r="D7" i="7"/>
  <c r="D115" i="7" s="1"/>
  <c r="C115" i="7"/>
  <c r="C25" i="7"/>
  <c r="C79" i="7" s="1"/>
  <c r="B94" i="6" l="1"/>
  <c r="B95" i="6" s="1"/>
  <c r="E95" i="6"/>
  <c r="N84" i="6"/>
  <c r="D11" i="10"/>
  <c r="P11" i="10" s="1"/>
  <c r="N83" i="6"/>
  <c r="N94" i="6" s="1"/>
  <c r="N22" i="6"/>
  <c r="N95" i="6" s="1"/>
  <c r="O16" i="10"/>
  <c r="N16" i="10"/>
  <c r="J16" i="10"/>
  <c r="K16" i="10"/>
  <c r="M16" i="10"/>
  <c r="L16" i="10"/>
  <c r="I16" i="10"/>
  <c r="D16" i="10"/>
  <c r="N121" i="7"/>
  <c r="G15" i="2" s="1"/>
  <c r="N130" i="7"/>
  <c r="N131" i="7" s="1"/>
  <c r="D43" i="7"/>
  <c r="D97" i="7" s="1"/>
  <c r="G16" i="10"/>
  <c r="H16" i="10"/>
  <c r="E16" i="10"/>
  <c r="G22" i="2"/>
  <c r="G20" i="2"/>
  <c r="G21" i="2"/>
  <c r="G18" i="2"/>
  <c r="G19" i="2"/>
  <c r="G16" i="2"/>
  <c r="G14" i="2"/>
  <c r="G23" i="2"/>
  <c r="G13" i="2"/>
  <c r="G11" i="2"/>
  <c r="G17" i="2"/>
  <c r="D15" i="2"/>
  <c r="D15" i="1"/>
  <c r="D22" i="2"/>
  <c r="D22" i="1"/>
  <c r="D17" i="2"/>
  <c r="D17" i="1"/>
  <c r="D21" i="2"/>
  <c r="D21" i="1"/>
  <c r="D16" i="2"/>
  <c r="D16" i="1"/>
  <c r="D11" i="2"/>
  <c r="D11" i="1"/>
  <c r="D19" i="2"/>
  <c r="D19" i="1"/>
  <c r="D20" i="2"/>
  <c r="D20" i="1"/>
  <c r="D23" i="2"/>
  <c r="D23" i="1"/>
  <c r="D12" i="2"/>
  <c r="D12" i="1"/>
  <c r="D14" i="2"/>
  <c r="D14" i="1"/>
  <c r="D13" i="1"/>
  <c r="D18" i="2"/>
  <c r="D18" i="1"/>
  <c r="D25" i="7"/>
  <c r="D79" i="7" s="1"/>
  <c r="E7" i="7"/>
  <c r="E43" i="7" s="1"/>
  <c r="E97" i="7" s="1"/>
  <c r="D61" i="7"/>
  <c r="E61" i="7"/>
  <c r="E115" i="7"/>
  <c r="N12" i="10" l="1"/>
  <c r="J12" i="10"/>
  <c r="M12" i="10"/>
  <c r="K12" i="10"/>
  <c r="E12" i="10"/>
  <c r="O12" i="10"/>
  <c r="H12" i="10"/>
  <c r="I12" i="10"/>
  <c r="L12" i="10"/>
  <c r="D13" i="2"/>
  <c r="P16" i="10"/>
  <c r="G12" i="10"/>
  <c r="D12" i="10"/>
  <c r="F12" i="10"/>
  <c r="F7" i="7"/>
  <c r="F43" i="7" s="1"/>
  <c r="F97" i="7" s="1"/>
  <c r="E25" i="7"/>
  <c r="E79" i="7" s="1"/>
  <c r="P12" i="10" l="1"/>
  <c r="F61" i="7"/>
  <c r="F115" i="7"/>
  <c r="F25" i="7"/>
  <c r="F79" i="7" s="1"/>
  <c r="C7" i="6" l="1"/>
  <c r="A2" i="6"/>
  <c r="B25" i="5"/>
  <c r="B43" i="5" s="1"/>
  <c r="C43" i="6" l="1"/>
  <c r="C61" i="6"/>
  <c r="C25" i="6"/>
  <c r="C79" i="6"/>
  <c r="D7" i="6"/>
  <c r="A4" i="2"/>
  <c r="A2" i="2"/>
  <c r="A2" i="5"/>
  <c r="C7" i="5"/>
  <c r="D61" i="6" l="1"/>
  <c r="D25" i="6"/>
  <c r="D79" i="6"/>
  <c r="D43" i="6"/>
  <c r="D7" i="5"/>
  <c r="C25" i="5"/>
  <c r="C43" i="5" s="1"/>
  <c r="E7" i="6"/>
  <c r="E25" i="6" l="1"/>
  <c r="E61" i="6"/>
  <c r="E79" i="6"/>
  <c r="E43" i="6"/>
  <c r="E7" i="5"/>
  <c r="D25" i="5"/>
  <c r="D43" i="5" s="1"/>
  <c r="F7" i="6"/>
  <c r="G7" i="6" l="1"/>
  <c r="H7" i="6" s="1"/>
  <c r="I7" i="6" s="1"/>
  <c r="J7" i="6" s="1"/>
  <c r="K7" i="6" s="1"/>
  <c r="L7" i="6" s="1"/>
  <c r="M7" i="6" s="1"/>
  <c r="F61" i="6"/>
  <c r="F43" i="6"/>
  <c r="F25" i="6"/>
  <c r="F79" i="6"/>
  <c r="E25" i="5"/>
  <c r="E43" i="5" s="1"/>
  <c r="F7" i="5"/>
  <c r="F25" i="5" l="1"/>
  <c r="F43" i="5" s="1"/>
  <c r="G24" i="2"/>
  <c r="D24" i="2"/>
  <c r="E15" i="2" s="1"/>
  <c r="A12" i="2"/>
  <c r="A13" i="2" s="1"/>
  <c r="A14" i="2" s="1"/>
  <c r="A15" i="2" s="1"/>
  <c r="A16" i="2" s="1"/>
  <c r="A17" i="2" s="1"/>
  <c r="A18" i="2" s="1"/>
  <c r="A19" i="2" s="1"/>
  <c r="A20" i="2" s="1"/>
  <c r="A21" i="2" s="1"/>
  <c r="A22" i="2" s="1"/>
  <c r="A23" i="2" s="1"/>
  <c r="A24" i="2" s="1"/>
  <c r="A25" i="2" s="1"/>
  <c r="A26" i="2" s="1"/>
  <c r="A27" i="2" s="1"/>
  <c r="A28" i="2" s="1"/>
  <c r="D24" i="1"/>
  <c r="E11" i="1" s="1"/>
  <c r="A12" i="1"/>
  <c r="A13" i="1" s="1"/>
  <c r="A14" i="1" s="1"/>
  <c r="A15" i="1" s="1"/>
  <c r="A16" i="1" s="1"/>
  <c r="A17" i="1" s="1"/>
  <c r="A18" i="1" s="1"/>
  <c r="A19" i="1" s="1"/>
  <c r="A20" i="1" s="1"/>
  <c r="A21" i="1" s="1"/>
  <c r="A22" i="1" s="1"/>
  <c r="A23" i="1" s="1"/>
  <c r="A24" i="1" s="1"/>
  <c r="A25" i="1" s="1"/>
  <c r="A26" i="1" s="1"/>
  <c r="E13" i="1" l="1"/>
  <c r="A4" i="8"/>
  <c r="A4" i="7"/>
  <c r="A4" i="6"/>
  <c r="E22" i="2"/>
  <c r="E18" i="2"/>
  <c r="E14" i="2"/>
  <c r="E21" i="2"/>
  <c r="E17" i="2"/>
  <c r="E13" i="2"/>
  <c r="E11" i="2"/>
  <c r="E20" i="2"/>
  <c r="E16" i="2"/>
  <c r="E12" i="2"/>
  <c r="E23" i="2"/>
  <c r="E19" i="2"/>
  <c r="E20" i="1"/>
  <c r="E16" i="1"/>
  <c r="E12" i="1"/>
  <c r="E23" i="1"/>
  <c r="E19" i="1"/>
  <c r="F19" i="1" s="1"/>
  <c r="G19" i="1" s="1"/>
  <c r="E15" i="1"/>
  <c r="E22" i="1"/>
  <c r="E18" i="1"/>
  <c r="E14" i="1"/>
  <c r="F14" i="1" s="1"/>
  <c r="G14" i="1" s="1"/>
  <c r="E21" i="1"/>
  <c r="E17" i="1"/>
  <c r="F12" i="1" l="1"/>
  <c r="G12" i="1" s="1"/>
  <c r="F20" i="1"/>
  <c r="G20" i="1" s="1"/>
  <c r="F16" i="1"/>
  <c r="G16" i="1" s="1"/>
  <c r="F21" i="1"/>
  <c r="G21" i="1" s="1"/>
  <c r="F15" i="1"/>
  <c r="G15" i="1" s="1"/>
  <c r="F17" i="1"/>
  <c r="G17" i="1" s="1"/>
  <c r="F22" i="1"/>
  <c r="G22" i="1" s="1"/>
  <c r="F13" i="1"/>
  <c r="G13" i="1" s="1"/>
  <c r="F23" i="1"/>
  <c r="G23" i="1" s="1"/>
  <c r="F18" i="1"/>
  <c r="G18" i="1" s="1"/>
  <c r="H12" i="1" l="1"/>
  <c r="F11" i="1"/>
  <c r="G11" i="1" s="1"/>
  <c r="E24" i="1"/>
  <c r="E24" i="2"/>
  <c r="F11" i="9" l="1"/>
  <c r="F24" i="1"/>
  <c r="E11" i="9" l="1"/>
  <c r="F27" i="2" s="1"/>
  <c r="F28" i="2" s="1"/>
  <c r="F22" i="2" l="1"/>
  <c r="H22" i="2" s="1"/>
  <c r="H21" i="40" s="1"/>
  <c r="I21" i="40" s="1"/>
  <c r="K21" i="40" s="1"/>
  <c r="L21" i="40" s="1"/>
  <c r="F18" i="2"/>
  <c r="F14" i="2"/>
  <c r="H14" i="2" s="1"/>
  <c r="H13" i="40" s="1"/>
  <c r="I13" i="40" s="1"/>
  <c r="K13" i="40" s="1"/>
  <c r="L13" i="40" s="1"/>
  <c r="F20" i="2"/>
  <c r="H20" i="2" s="1"/>
  <c r="H19" i="40" s="1"/>
  <c r="I19" i="40" s="1"/>
  <c r="K19" i="40" s="1"/>
  <c r="L19" i="40" s="1"/>
  <c r="F23" i="2"/>
  <c r="H23" i="2" s="1"/>
  <c r="H22" i="40" s="1"/>
  <c r="I22" i="40" s="1"/>
  <c r="K22" i="40" s="1"/>
  <c r="L22" i="40" s="1"/>
  <c r="F15" i="2"/>
  <c r="H15" i="2" s="1"/>
  <c r="H14" i="40" s="1"/>
  <c r="I14" i="40" s="1"/>
  <c r="K14" i="40" s="1"/>
  <c r="L14" i="40" s="1"/>
  <c r="F11" i="2"/>
  <c r="H11" i="2" s="1"/>
  <c r="H10" i="40" s="1"/>
  <c r="I10" i="40" s="1"/>
  <c r="F21" i="2"/>
  <c r="H21" i="2" s="1"/>
  <c r="H20" i="40" s="1"/>
  <c r="I20" i="40" s="1"/>
  <c r="K20" i="40" s="1"/>
  <c r="L20" i="40" s="1"/>
  <c r="F17" i="2"/>
  <c r="H17" i="2" s="1"/>
  <c r="H16" i="40" s="1"/>
  <c r="I16" i="40" s="1"/>
  <c r="K16" i="40" s="1"/>
  <c r="L16" i="40" s="1"/>
  <c r="F13" i="2"/>
  <c r="H13" i="2" s="1"/>
  <c r="H12" i="40" s="1"/>
  <c r="I12" i="40" s="1"/>
  <c r="K12" i="40" s="1"/>
  <c r="L12" i="40" s="1"/>
  <c r="F16" i="2"/>
  <c r="H16" i="2" s="1"/>
  <c r="H15" i="40" s="1"/>
  <c r="I15" i="40" s="1"/>
  <c r="K15" i="40" s="1"/>
  <c r="L15" i="40" s="1"/>
  <c r="F12" i="2"/>
  <c r="H12" i="2" s="1"/>
  <c r="H11" i="40" s="1"/>
  <c r="I11" i="40" s="1"/>
  <c r="K11" i="40" s="1"/>
  <c r="L11" i="40" s="1"/>
  <c r="F19" i="2"/>
  <c r="H19" i="2" s="1"/>
  <c r="H18" i="40" s="1"/>
  <c r="I18" i="40" s="1"/>
  <c r="K18" i="40" s="1"/>
  <c r="L18" i="40" s="1"/>
  <c r="G15" i="38" l="1"/>
  <c r="H15" i="38" s="1"/>
  <c r="H37" i="38" s="1"/>
  <c r="H38" i="38" s="1"/>
  <c r="H39" i="38" s="1"/>
  <c r="K10" i="40"/>
  <c r="M11" i="40"/>
  <c r="W12" i="37"/>
  <c r="W21" i="37"/>
  <c r="M20" i="40"/>
  <c r="W15" i="37"/>
  <c r="M14" i="40"/>
  <c r="W19" i="37"/>
  <c r="M18" i="40"/>
  <c r="M22" i="40"/>
  <c r="W23" i="37"/>
  <c r="M19" i="40"/>
  <c r="W20" i="37"/>
  <c r="M15" i="40"/>
  <c r="W16" i="37"/>
  <c r="M13" i="40"/>
  <c r="W14" i="37"/>
  <c r="M12" i="40"/>
  <c r="W13" i="37"/>
  <c r="H18" i="2"/>
  <c r="H17" i="40" s="1"/>
  <c r="I17" i="40" s="1"/>
  <c r="K17" i="40" s="1"/>
  <c r="L17" i="40" s="1"/>
  <c r="X18" i="37"/>
  <c r="Z18" i="37" s="1"/>
  <c r="W17" i="37"/>
  <c r="M16" i="40"/>
  <c r="W22" i="37"/>
  <c r="M21" i="40"/>
  <c r="P24" i="10"/>
  <c r="P20" i="10"/>
  <c r="F24" i="2"/>
  <c r="W31" i="37" l="1"/>
  <c r="X31" i="37" s="1"/>
  <c r="Y16" i="37"/>
  <c r="X16" i="37"/>
  <c r="W32" i="37"/>
  <c r="X32" i="37" s="1"/>
  <c r="X17" i="37"/>
  <c r="Y17" i="37"/>
  <c r="W30" i="37"/>
  <c r="X30" i="37" s="1"/>
  <c r="Y15" i="37"/>
  <c r="X15" i="37"/>
  <c r="X20" i="37"/>
  <c r="Y20" i="37"/>
  <c r="Z20" i="37" s="1"/>
  <c r="X13" i="37"/>
  <c r="W28" i="37"/>
  <c r="X28" i="37" s="1"/>
  <c r="Y13" i="37"/>
  <c r="X23" i="37"/>
  <c r="W33" i="37"/>
  <c r="X33" i="37" s="1"/>
  <c r="Y23" i="37"/>
  <c r="X12" i="37"/>
  <c r="Y12" i="37"/>
  <c r="Z12" i="37" s="1"/>
  <c r="X14" i="37"/>
  <c r="W29" i="37"/>
  <c r="X29" i="37" s="1"/>
  <c r="Y14" i="37"/>
  <c r="L10" i="40"/>
  <c r="K23" i="40"/>
  <c r="K32" i="40" s="1"/>
  <c r="M17" i="40"/>
  <c r="W18" i="37"/>
  <c r="Y18" i="37" s="1"/>
  <c r="X21" i="37"/>
  <c r="Y21" i="37"/>
  <c r="Z21" i="37" s="1"/>
  <c r="P28" i="10"/>
  <c r="J29" i="10" s="1"/>
  <c r="X22" i="37"/>
  <c r="Y22" i="37"/>
  <c r="Z22" i="37" s="1"/>
  <c r="X19" i="37"/>
  <c r="Y19" i="37"/>
  <c r="Z19" i="37" s="1"/>
  <c r="G21" i="10"/>
  <c r="K21" i="10"/>
  <c r="O21" i="10"/>
  <c r="E21" i="10"/>
  <c r="M21" i="10"/>
  <c r="F21" i="10"/>
  <c r="H21" i="10"/>
  <c r="L21" i="10"/>
  <c r="D21" i="10"/>
  <c r="I21" i="10"/>
  <c r="J21" i="10"/>
  <c r="N21" i="10"/>
  <c r="G25" i="10"/>
  <c r="K25" i="10"/>
  <c r="O25" i="10"/>
  <c r="I25" i="10"/>
  <c r="F25" i="10"/>
  <c r="J25" i="10"/>
  <c r="H25" i="10"/>
  <c r="L25" i="10"/>
  <c r="E25" i="10"/>
  <c r="M25" i="10"/>
  <c r="N25" i="10"/>
  <c r="D25" i="10"/>
  <c r="D29" i="10" l="1"/>
  <c r="I29" i="10"/>
  <c r="H29" i="10"/>
  <c r="Y30" i="37"/>
  <c r="Z30" i="37" s="1"/>
  <c r="Z15" i="37"/>
  <c r="W11" i="37"/>
  <c r="M10" i="40"/>
  <c r="L23" i="40"/>
  <c r="Y28" i="37"/>
  <c r="Z28" i="37" s="1"/>
  <c r="Z13" i="37"/>
  <c r="L29" i="10"/>
  <c r="N29" i="10"/>
  <c r="K29" i="10"/>
  <c r="F29" i="10"/>
  <c r="Z16" i="37"/>
  <c r="Y31" i="37"/>
  <c r="Z31" i="37" s="1"/>
  <c r="Y29" i="37"/>
  <c r="Z29" i="37" s="1"/>
  <c r="Z14" i="37"/>
  <c r="Z17" i="37"/>
  <c r="Y32" i="37"/>
  <c r="Z32" i="37" s="1"/>
  <c r="M29" i="10"/>
  <c r="O29" i="10"/>
  <c r="E29" i="10"/>
  <c r="G29" i="10"/>
  <c r="Z23" i="37"/>
  <c r="Y33" i="37"/>
  <c r="Z33" i="37" s="1"/>
  <c r="P25" i="10"/>
  <c r="P21" i="10"/>
  <c r="P29" i="10" l="1"/>
  <c r="W24" i="37"/>
  <c r="X24" i="37" s="1"/>
  <c r="X11" i="37"/>
  <c r="W27" i="37"/>
  <c r="Y11" i="37"/>
  <c r="L32" i="40"/>
  <c r="M32" i="40" s="1"/>
  <c r="M23" i="40"/>
  <c r="Y24" i="37" l="1"/>
  <c r="Z24" i="37" s="1"/>
  <c r="Z11" i="37"/>
  <c r="Y27" i="37"/>
  <c r="X27" i="37"/>
  <c r="W34" i="37"/>
  <c r="X34" i="37" s="1"/>
  <c r="Y34" i="37" l="1"/>
  <c r="Z34" i="37" s="1"/>
  <c r="Z27" i="37"/>
</calcChain>
</file>

<file path=xl/sharedStrings.xml><?xml version="1.0" encoding="utf-8"?>
<sst xmlns="http://schemas.openxmlformats.org/spreadsheetml/2006/main" count="878" uniqueCount="274">
  <si>
    <t>Puget Sound Energy</t>
  </si>
  <si>
    <t>Line</t>
  </si>
  <si>
    <t>Total</t>
  </si>
  <si>
    <t>Allocation</t>
  </si>
  <si>
    <t>Revenue</t>
  </si>
  <si>
    <t>Sch. 111</t>
  </si>
  <si>
    <t>No.</t>
  </si>
  <si>
    <t>Rate Class</t>
  </si>
  <si>
    <t>Schedules</t>
  </si>
  <si>
    <t>Factor</t>
  </si>
  <si>
    <t>Requirement</t>
  </si>
  <si>
    <t>Mantle Rate</t>
  </si>
  <si>
    <t>(a)</t>
  </si>
  <si>
    <t>(b)</t>
  </si>
  <si>
    <t>(c)</t>
  </si>
  <si>
    <t>(d)</t>
  </si>
  <si>
    <t>(e)</t>
  </si>
  <si>
    <t>(f)</t>
  </si>
  <si>
    <t>(g)</t>
  </si>
  <si>
    <t>Residential</t>
  </si>
  <si>
    <t>Residential Gas Lights</t>
  </si>
  <si>
    <t>Commercial &amp; Industrial</t>
  </si>
  <si>
    <t>Large Volume</t>
  </si>
  <si>
    <t>Interruptible</t>
  </si>
  <si>
    <t>Limited Interruptible</t>
  </si>
  <si>
    <t>Non-exclusive Interruptible</t>
  </si>
  <si>
    <t>Commercial &amp; Industrial Transportation</t>
  </si>
  <si>
    <t>31T</t>
  </si>
  <si>
    <t>Large Volume Transportation</t>
  </si>
  <si>
    <t>41T</t>
  </si>
  <si>
    <t>Interruptible Transportation</t>
  </si>
  <si>
    <t>85T</t>
  </si>
  <si>
    <t>Limited Interruptible Transportation</t>
  </si>
  <si>
    <t>86T</t>
  </si>
  <si>
    <t>Non-exclusive Interruptible Transportation</t>
  </si>
  <si>
    <t>87T</t>
  </si>
  <si>
    <t>Contracts</t>
  </si>
  <si>
    <t>Proposed Revenue Requirement</t>
  </si>
  <si>
    <t>No Cost Allowance Revenues</t>
  </si>
  <si>
    <t>2023 Gas Schedule 111 Greenhouse Gas Emissions Cap and Invest Adjustment Filing</t>
  </si>
  <si>
    <r>
      <t xml:space="preserve">Gas Schedule 111 </t>
    </r>
    <r>
      <rPr>
        <b/>
        <sz val="14"/>
        <color rgb="FFFF0000"/>
        <rFont val="Times New Roman"/>
        <family val="1"/>
      </rPr>
      <t>Charge</t>
    </r>
  </si>
  <si>
    <t>Rate Periods</t>
  </si>
  <si>
    <t>Gas CCA Emissions Expense</t>
  </si>
  <si>
    <t>Increase (Decrease) FIT</t>
  </si>
  <si>
    <t>Increase (Decrease) NOI</t>
  </si>
  <si>
    <t xml:space="preserve">Conversion Factor </t>
  </si>
  <si>
    <t>Revenue Requirement</t>
  </si>
  <si>
    <r>
      <t xml:space="preserve">Gas Schedule 111 </t>
    </r>
    <r>
      <rPr>
        <b/>
        <sz val="14"/>
        <color rgb="FFFF0000"/>
        <rFont val="Times New Roman"/>
        <family val="1"/>
      </rPr>
      <t>Credit</t>
    </r>
  </si>
  <si>
    <t>CCA Allowance Proceeds</t>
  </si>
  <si>
    <r>
      <rPr>
        <b/>
        <sz val="14"/>
        <color rgb="FFFF0000"/>
        <rFont val="Times New Roman"/>
        <family val="1"/>
      </rPr>
      <t>Total</t>
    </r>
    <r>
      <rPr>
        <b/>
        <sz val="14"/>
        <color rgb="FF0000FF"/>
        <rFont val="Times New Roman"/>
        <family val="1"/>
      </rPr>
      <t xml:space="preserve"> Gas Schedule 111 </t>
    </r>
  </si>
  <si>
    <t>Total CCA Costs and Proceeds</t>
  </si>
  <si>
    <t>Forecasted Therms &amp; Customers</t>
  </si>
  <si>
    <t>Rate Schedule</t>
  </si>
  <si>
    <t>Customers:</t>
  </si>
  <si>
    <t>Delivered Therms:</t>
  </si>
  <si>
    <t>Development of Cap &amp; Invest Therm Forecast</t>
  </si>
  <si>
    <t>Cap and Invest Therms:</t>
  </si>
  <si>
    <t>Development of Cap &amp; Invest Customer Count Forecast</t>
  </si>
  <si>
    <t>Cap and Invest Customer Counts:</t>
  </si>
  <si>
    <r>
      <t xml:space="preserve">CCA Therms </t>
    </r>
    <r>
      <rPr>
        <vertAlign val="superscript"/>
        <sz val="11"/>
        <color theme="1"/>
        <rFont val="Calibri"/>
        <family val="2"/>
        <scheme val="minor"/>
      </rPr>
      <t>(1)</t>
    </r>
  </si>
  <si>
    <t>Residential (Low Income)</t>
  </si>
  <si>
    <t>% of Total</t>
  </si>
  <si>
    <t>Sales:</t>
  </si>
  <si>
    <t>Schedule 31</t>
  </si>
  <si>
    <t>Total Non-Vol. Credit Per Customer</t>
  </si>
  <si>
    <t>Mantles:</t>
  </si>
  <si>
    <t>Proposed</t>
  </si>
  <si>
    <t>Schedule 31T</t>
  </si>
  <si>
    <t>Credit Rate</t>
  </si>
  <si>
    <r>
      <t xml:space="preserve">Therms </t>
    </r>
    <r>
      <rPr>
        <vertAlign val="superscript"/>
        <sz val="11"/>
        <color theme="1"/>
        <rFont val="Calibri"/>
        <family val="2"/>
        <scheme val="minor"/>
      </rPr>
      <t>(1)</t>
    </r>
  </si>
  <si>
    <t>Low Income Volumetric Credit</t>
  </si>
  <si>
    <t>Proposed Revenue Requirement for Non-Vol. Credit</t>
  </si>
  <si>
    <r>
      <t xml:space="preserve">Total CCA </t>
    </r>
    <r>
      <rPr>
        <vertAlign val="superscript"/>
        <sz val="11"/>
        <color theme="1"/>
        <rFont val="Calibri"/>
        <family val="2"/>
        <scheme val="minor"/>
      </rPr>
      <t>(2)</t>
    </r>
  </si>
  <si>
    <r>
      <t xml:space="preserve">Sch. 111 </t>
    </r>
    <r>
      <rPr>
        <vertAlign val="superscript"/>
        <sz val="11"/>
        <color theme="1"/>
        <rFont val="Calibri"/>
        <family val="2"/>
        <scheme val="minor"/>
      </rPr>
      <t>(3)</t>
    </r>
  </si>
  <si>
    <r>
      <rPr>
        <vertAlign val="superscript"/>
        <sz val="11"/>
        <color theme="1"/>
        <rFont val="Calibri"/>
        <family val="2"/>
        <scheme val="minor"/>
      </rPr>
      <t>(3)</t>
    </r>
    <r>
      <rPr>
        <sz val="11"/>
        <color theme="1"/>
        <rFont val="Calibri"/>
        <family val="2"/>
        <scheme val="minor"/>
      </rPr>
      <t xml:space="preserve"> Schedule's 23, 53, 31 &amp; 31T rates are informational only, credits will vary monthly to reflect seasonality of usage.</t>
    </r>
  </si>
  <si>
    <r>
      <rPr>
        <vertAlign val="superscript"/>
        <sz val="11"/>
        <color theme="1"/>
        <rFont val="Calibri"/>
        <family val="2"/>
        <scheme val="minor"/>
      </rPr>
      <t>(4)</t>
    </r>
    <r>
      <rPr>
        <sz val="11"/>
        <color theme="1"/>
        <rFont val="Calibri"/>
        <family val="2"/>
        <scheme val="minor"/>
      </rPr>
      <t xml:space="preserve"> Customer Counts for this schedule are mantle counts since gas lighting is billed per mantle.</t>
    </r>
  </si>
  <si>
    <r>
      <t xml:space="preserve">Residential Gas Lights </t>
    </r>
    <r>
      <rPr>
        <vertAlign val="superscript"/>
        <sz val="11"/>
        <color theme="1"/>
        <rFont val="Calibri"/>
        <family val="2"/>
        <scheme val="minor"/>
      </rPr>
      <t>(4)</t>
    </r>
  </si>
  <si>
    <t>Monthly Non-Vol. Credit Per Customer</t>
  </si>
  <si>
    <r>
      <t xml:space="preserve">Forecasted Delivered Therms </t>
    </r>
    <r>
      <rPr>
        <vertAlign val="superscript"/>
        <sz val="11"/>
        <color theme="1"/>
        <rFont val="Calibri"/>
        <family val="2"/>
        <scheme val="minor"/>
      </rPr>
      <t>(1)</t>
    </r>
  </si>
  <si>
    <r>
      <t xml:space="preserve">Low Income Therm Forecast </t>
    </r>
    <r>
      <rPr>
        <b/>
        <u/>
        <vertAlign val="superscript"/>
        <sz val="11"/>
        <color theme="1"/>
        <rFont val="Calibri"/>
        <family val="2"/>
        <scheme val="minor"/>
      </rPr>
      <t xml:space="preserve">(1) </t>
    </r>
    <r>
      <rPr>
        <b/>
        <u/>
        <sz val="11"/>
        <color theme="1"/>
        <rFont val="Calibri"/>
        <family val="2"/>
        <scheme val="minor"/>
      </rPr>
      <t>:</t>
    </r>
  </si>
  <si>
    <r>
      <t xml:space="preserve">National Security Customer Therms </t>
    </r>
    <r>
      <rPr>
        <b/>
        <u/>
        <vertAlign val="superscript"/>
        <sz val="11"/>
        <color theme="1"/>
        <rFont val="Calibri"/>
        <family val="2"/>
        <scheme val="minor"/>
      </rPr>
      <t>(2)</t>
    </r>
    <r>
      <rPr>
        <b/>
        <u/>
        <sz val="11"/>
        <color theme="1"/>
        <rFont val="Calibri"/>
        <family val="2"/>
        <scheme val="minor"/>
      </rPr>
      <t>:</t>
    </r>
  </si>
  <si>
    <r>
      <t xml:space="preserve">Emissions Intensive Trade Exposed Customer Therms </t>
    </r>
    <r>
      <rPr>
        <b/>
        <u/>
        <vertAlign val="superscript"/>
        <sz val="11"/>
        <color theme="1"/>
        <rFont val="Calibri"/>
        <family val="2"/>
        <scheme val="minor"/>
      </rPr>
      <t>(3)</t>
    </r>
    <r>
      <rPr>
        <b/>
        <u/>
        <sz val="11"/>
        <color theme="1"/>
        <rFont val="Calibri"/>
        <family val="2"/>
        <scheme val="minor"/>
      </rPr>
      <t>:</t>
    </r>
  </si>
  <si>
    <r>
      <t xml:space="preserve">National Security Customer Counts </t>
    </r>
    <r>
      <rPr>
        <b/>
        <u/>
        <vertAlign val="superscript"/>
        <sz val="11"/>
        <color theme="1"/>
        <rFont val="Calibri"/>
        <family val="2"/>
        <scheme val="minor"/>
      </rPr>
      <t>(2)</t>
    </r>
    <r>
      <rPr>
        <b/>
        <u/>
        <sz val="11"/>
        <color theme="1"/>
        <rFont val="Calibri"/>
        <family val="2"/>
        <scheme val="minor"/>
      </rPr>
      <t>:</t>
    </r>
  </si>
  <si>
    <r>
      <t xml:space="preserve">Emissions Intensive Trade Exposed Customer Counts </t>
    </r>
    <r>
      <rPr>
        <b/>
        <u/>
        <vertAlign val="superscript"/>
        <sz val="11"/>
        <color theme="1"/>
        <rFont val="Calibri"/>
        <family val="2"/>
        <scheme val="minor"/>
      </rPr>
      <t>(3)</t>
    </r>
    <r>
      <rPr>
        <b/>
        <u/>
        <sz val="11"/>
        <color theme="1"/>
        <rFont val="Calibri"/>
        <family val="2"/>
        <scheme val="minor"/>
      </rPr>
      <t>:</t>
    </r>
  </si>
  <si>
    <r>
      <t xml:space="preserve">Low Income Customer Counts </t>
    </r>
    <r>
      <rPr>
        <b/>
        <u/>
        <vertAlign val="superscript"/>
        <sz val="11"/>
        <color theme="1"/>
        <rFont val="Calibri"/>
        <family val="2"/>
        <scheme val="minor"/>
      </rPr>
      <t>(4)</t>
    </r>
    <r>
      <rPr>
        <b/>
        <u/>
        <sz val="11"/>
        <color theme="1"/>
        <rFont val="Calibri"/>
        <family val="2"/>
        <scheme val="minor"/>
      </rPr>
      <t>:</t>
    </r>
  </si>
  <si>
    <r>
      <t xml:space="preserve">New Gas Connection after July 25, 2021 Customer Counts </t>
    </r>
    <r>
      <rPr>
        <b/>
        <u/>
        <vertAlign val="superscript"/>
        <sz val="11"/>
        <color theme="1"/>
        <rFont val="Calibri"/>
        <family val="2"/>
        <scheme val="minor"/>
      </rPr>
      <t>(5)</t>
    </r>
    <r>
      <rPr>
        <b/>
        <u/>
        <sz val="11"/>
        <color theme="1"/>
        <rFont val="Calibri"/>
        <family val="2"/>
        <scheme val="minor"/>
      </rPr>
      <t>:</t>
    </r>
  </si>
  <si>
    <r>
      <rPr>
        <vertAlign val="superscript"/>
        <sz val="11"/>
        <color theme="1"/>
        <rFont val="Calibri"/>
        <family val="2"/>
        <scheme val="minor"/>
      </rPr>
      <t>(1)</t>
    </r>
    <r>
      <rPr>
        <sz val="11"/>
        <color theme="1"/>
        <rFont val="Calibri"/>
        <family val="2"/>
        <scheme val="minor"/>
      </rPr>
      <t xml:space="preserve"> CY2022 actual customer counts for &gt;25,000 metric ton emission customers.</t>
    </r>
  </si>
  <si>
    <r>
      <rPr>
        <vertAlign val="superscript"/>
        <sz val="11"/>
        <color theme="1"/>
        <rFont val="Calibri"/>
        <family val="2"/>
        <scheme val="minor"/>
      </rPr>
      <t>(2)</t>
    </r>
    <r>
      <rPr>
        <sz val="11"/>
        <color theme="1"/>
        <rFont val="Calibri"/>
        <family val="2"/>
        <scheme val="minor"/>
      </rPr>
      <t xml:space="preserve"> CY2022 actual customer counts for national security customers.</t>
    </r>
  </si>
  <si>
    <r>
      <t xml:space="preserve">Covered Entity &gt;25,000 Metric Ton Emissions Customer Therms </t>
    </r>
    <r>
      <rPr>
        <b/>
        <u/>
        <vertAlign val="superscript"/>
        <sz val="11"/>
        <color theme="1"/>
        <rFont val="Calibri"/>
        <family val="2"/>
        <scheme val="minor"/>
      </rPr>
      <t>(1)</t>
    </r>
    <r>
      <rPr>
        <b/>
        <u/>
        <sz val="11"/>
        <color theme="1"/>
        <rFont val="Calibri"/>
        <family val="2"/>
        <scheme val="minor"/>
      </rPr>
      <t>:</t>
    </r>
  </si>
  <si>
    <r>
      <t xml:space="preserve">Covered Entity &gt;25,000 Metric Ton Customer Counts </t>
    </r>
    <r>
      <rPr>
        <b/>
        <u/>
        <vertAlign val="superscript"/>
        <sz val="11"/>
        <color theme="1"/>
        <rFont val="Calibri"/>
        <family val="2"/>
        <scheme val="minor"/>
      </rPr>
      <t>(1)</t>
    </r>
    <r>
      <rPr>
        <b/>
        <u/>
        <sz val="11"/>
        <color theme="1"/>
        <rFont val="Calibri"/>
        <family val="2"/>
        <scheme val="minor"/>
      </rPr>
      <t>:</t>
    </r>
  </si>
  <si>
    <t>Calculation of Schedule 111 State Carbon Reduction Charge Volumetric Rates</t>
  </si>
  <si>
    <t>Calculation of Schedule 111 Low Income State Carbon Reduction Credit Volumetric Rates</t>
  </si>
  <si>
    <t>Calculation of Schedule 111 State Carbon Reduction Credit Monthly Non-Volumetric Rates</t>
  </si>
  <si>
    <t>Cap &amp; Invest</t>
  </si>
  <si>
    <t>Base</t>
  </si>
  <si>
    <t>Charge Rate</t>
  </si>
  <si>
    <t>Customer</t>
  </si>
  <si>
    <t>Counts</t>
  </si>
  <si>
    <t>Monthly Credit</t>
  </si>
  <si>
    <t>Non-Volumetric Credit Per Customer by Month:</t>
  </si>
  <si>
    <t>Schedule 23</t>
  </si>
  <si>
    <t xml:space="preserve">Source: F2023 Load Forecast Calendar Month Therms &amp; Customer Counts (5-26-2023)  </t>
  </si>
  <si>
    <t>F2023 Forecast:</t>
  </si>
  <si>
    <r>
      <rPr>
        <vertAlign val="superscript"/>
        <sz val="11"/>
        <color theme="1"/>
        <rFont val="Calibri"/>
        <family val="2"/>
        <scheme val="minor"/>
      </rPr>
      <t>(1)</t>
    </r>
    <r>
      <rPr>
        <sz val="11"/>
        <color theme="1"/>
        <rFont val="Calibri"/>
        <family val="2"/>
        <scheme val="minor"/>
      </rPr>
      <t xml:space="preserve"> Assume hitting the target of 70,000 Low Income customers by the end of December 2023, i.e., by January 1, 2023 (as required by Order 01 (Aug. 3, 2023) in Docket UG-230470). The 70,000 targets includes Known LI and Estimated LI customers. Assume that enrollment happens with lowest-income bracket tiers first, followed by higher income brackets until the targeted number of customers is reached.  After December 2023, assumed 10% annual, or 0.83% monthly, low income customer growth rate for each income tier.</t>
    </r>
  </si>
  <si>
    <r>
      <rPr>
        <vertAlign val="superscript"/>
        <sz val="11"/>
        <color theme="1"/>
        <rFont val="Calibri"/>
        <family val="2"/>
        <scheme val="minor"/>
      </rPr>
      <t>(4)</t>
    </r>
    <r>
      <rPr>
        <sz val="11"/>
        <color theme="1"/>
        <rFont val="Calibri"/>
        <family val="2"/>
        <scheme val="minor"/>
      </rPr>
      <t xml:space="preserve"> Assume hitting the target of 70,000 Low Income customers by the end of December 2023, i.e., by January 1, 2023 (as required by Order 01 (Aug. 3, 2023) in Docket UG-230470). The 70,000 targets includes Known LI and Estimated LI customers. Assume that enrollment happens with lowest-income bracket tiers first, followed by higher income brackets until the targeted number of customers is reached.  After December 2023, assumed 10% annual, or 0.83% monthly, low income customer growth rate for each income tier.</t>
    </r>
  </si>
  <si>
    <r>
      <rPr>
        <vertAlign val="superscript"/>
        <sz val="11"/>
        <color theme="1"/>
        <rFont val="Calibri"/>
        <family val="2"/>
        <scheme val="minor"/>
      </rPr>
      <t>(5)</t>
    </r>
    <r>
      <rPr>
        <sz val="11"/>
        <color theme="1"/>
        <rFont val="Calibri"/>
        <family val="2"/>
        <scheme val="minor"/>
      </rPr>
      <t xml:space="preserve"> New gas connections after July 25, 2021 as of September 7, 2023</t>
    </r>
  </si>
  <si>
    <t>Proposed Rates Effective November 1, 2023</t>
  </si>
  <si>
    <t>Nov. 2023 -</t>
  </si>
  <si>
    <r>
      <rPr>
        <vertAlign val="superscript"/>
        <sz val="11"/>
        <color theme="1"/>
        <rFont val="Calibri"/>
        <family val="2"/>
        <scheme val="minor"/>
      </rPr>
      <t>(1)</t>
    </r>
    <r>
      <rPr>
        <sz val="11"/>
        <color theme="1"/>
        <rFont val="Calibri"/>
        <family val="2"/>
        <scheme val="minor"/>
      </rPr>
      <t xml:space="preserve"> F2023 Load Forecast adjusted to remove therms not subject to the CCA charge.</t>
    </r>
  </si>
  <si>
    <r>
      <rPr>
        <vertAlign val="superscript"/>
        <sz val="11"/>
        <color theme="1"/>
        <rFont val="Calibri"/>
        <family val="2"/>
        <scheme val="minor"/>
      </rPr>
      <t>(2)</t>
    </r>
    <r>
      <rPr>
        <sz val="11"/>
        <color theme="1"/>
        <rFont val="Calibri"/>
        <family val="2"/>
        <scheme val="minor"/>
      </rPr>
      <t xml:space="preserve"> F2023 Load Forecast adjusted to remove customers not eligible for the CCA non-volumetric credit.</t>
    </r>
  </si>
  <si>
    <t>(h)</t>
  </si>
  <si>
    <t>(i)</t>
  </si>
  <si>
    <t>(j)</t>
  </si>
  <si>
    <t>(k)</t>
  </si>
  <si>
    <t>(l)</t>
  </si>
  <si>
    <t>(m)</t>
  </si>
  <si>
    <t>(n)</t>
  </si>
  <si>
    <t>Check</t>
  </si>
  <si>
    <r>
      <rPr>
        <vertAlign val="superscript"/>
        <sz val="11"/>
        <color theme="1"/>
        <rFont val="Calibri"/>
        <family val="2"/>
        <scheme val="minor"/>
      </rPr>
      <t>(3)</t>
    </r>
    <r>
      <rPr>
        <sz val="11"/>
        <color theme="1"/>
        <rFont val="Calibri"/>
        <family val="2"/>
        <scheme val="minor"/>
      </rPr>
      <t xml:space="preserve"> CY2022 actual customer counts for emissions intensive trade exposed customers.</t>
    </r>
  </si>
  <si>
    <t>Gas Schedule 111 CCA Deferral Portion of 2023</t>
  </si>
  <si>
    <t>For Rates effective Nov 1, 2023 to Oct 31, 2024</t>
  </si>
  <si>
    <t xml:space="preserve">Gas CCA Charge Revenue Requirement </t>
  </si>
  <si>
    <t>Deferral Costs</t>
  </si>
  <si>
    <t>Jan-Sept 2023</t>
  </si>
  <si>
    <t>Check=&gt;</t>
  </si>
  <si>
    <t xml:space="preserve">Gas CCA Credit Revenue Requirement </t>
  </si>
  <si>
    <t>Deferral Credits</t>
  </si>
  <si>
    <t xml:space="preserve">Total Gas CCA Nov 2023 Net Revenue Requirement </t>
  </si>
  <si>
    <t>Net Deferred</t>
  </si>
  <si>
    <t>Rate Change Impacts by Rate Schedule</t>
  </si>
  <si>
    <t>Forecasted</t>
  </si>
  <si>
    <t>UG-220067</t>
  </si>
  <si>
    <t>Base Sch.</t>
  </si>
  <si>
    <t>Therms</t>
  </si>
  <si>
    <t>12ME Oct. 2024</t>
  </si>
  <si>
    <t>Rate</t>
  </si>
  <si>
    <t>Volume</t>
  </si>
  <si>
    <t>Base Schedule</t>
  </si>
  <si>
    <t>Sch. 101</t>
  </si>
  <si>
    <t>Sch. 106</t>
  </si>
  <si>
    <t>Sch. 120</t>
  </si>
  <si>
    <t>Sch. 129</t>
  </si>
  <si>
    <t>Sch. 140</t>
  </si>
  <si>
    <t>Sch. 141D</t>
  </si>
  <si>
    <t>Sch. 141N</t>
  </si>
  <si>
    <t>Sch. 141R</t>
  </si>
  <si>
    <t>Sch. 141Z</t>
  </si>
  <si>
    <t>Sch. 142</t>
  </si>
  <si>
    <t>Total Forecasted</t>
  </si>
  <si>
    <t>Chrg. Revenue</t>
  </si>
  <si>
    <t>Percent</t>
  </si>
  <si>
    <t>Cred. Revenue</t>
  </si>
  <si>
    <t>Total Revenue</t>
  </si>
  <si>
    <t>Schedule</t>
  </si>
  <si>
    <r>
      <t>(Therms)</t>
    </r>
    <r>
      <rPr>
        <vertAlign val="superscript"/>
        <sz val="11"/>
        <color theme="1"/>
        <rFont val="Calibri"/>
        <family val="2"/>
      </rPr>
      <t xml:space="preserve"> (1)</t>
    </r>
  </si>
  <si>
    <r>
      <t>Revenue</t>
    </r>
    <r>
      <rPr>
        <vertAlign val="superscript"/>
        <sz val="11"/>
        <color theme="1"/>
        <rFont val="Calibri"/>
        <family val="2"/>
      </rPr>
      <t xml:space="preserve"> (1)</t>
    </r>
  </si>
  <si>
    <t>$/Therm</t>
  </si>
  <si>
    <t>Oct. 2024</t>
  </si>
  <si>
    <r>
      <t>Revenue</t>
    </r>
    <r>
      <rPr>
        <vertAlign val="superscript"/>
        <sz val="11"/>
        <color theme="1"/>
        <rFont val="Calibri"/>
        <family val="2"/>
        <scheme val="minor"/>
      </rPr>
      <t xml:space="preserve"> (2)</t>
    </r>
  </si>
  <si>
    <t>Change</t>
  </si>
  <si>
    <t>A</t>
  </si>
  <si>
    <t>B</t>
  </si>
  <si>
    <t>C</t>
  </si>
  <si>
    <t>D</t>
  </si>
  <si>
    <t>E=D/C</t>
  </si>
  <si>
    <t xml:space="preserve">F </t>
  </si>
  <si>
    <t xml:space="preserve">G=E*F </t>
  </si>
  <si>
    <t>H</t>
  </si>
  <si>
    <t>I</t>
  </si>
  <si>
    <t>J</t>
  </si>
  <si>
    <t>K</t>
  </si>
  <si>
    <t>L</t>
  </si>
  <si>
    <t>M</t>
  </si>
  <si>
    <t>N</t>
  </si>
  <si>
    <t>O</t>
  </si>
  <si>
    <t>P</t>
  </si>
  <si>
    <t>Q</t>
  </si>
  <si>
    <t>R</t>
  </si>
  <si>
    <t>S = sum(G:R)</t>
  </si>
  <si>
    <t>T</t>
  </si>
  <si>
    <t>U= T/S</t>
  </si>
  <si>
    <t>V</t>
  </si>
  <si>
    <t>W= V/S</t>
  </si>
  <si>
    <t>X</t>
  </si>
  <si>
    <t>Y= X/S</t>
  </si>
  <si>
    <t>By Customer Class:</t>
  </si>
  <si>
    <t>16,23,53</t>
  </si>
  <si>
    <t>Commercial &amp; industrial</t>
  </si>
  <si>
    <t>31,31T</t>
  </si>
  <si>
    <t>Large volume</t>
  </si>
  <si>
    <t>41,41T</t>
  </si>
  <si>
    <t>85,85T</t>
  </si>
  <si>
    <t>Limited interruptible</t>
  </si>
  <si>
    <t>86,86T</t>
  </si>
  <si>
    <t>Non-exclusive interruptible</t>
  </si>
  <si>
    <t>87,87T</t>
  </si>
  <si>
    <r>
      <rPr>
        <vertAlign val="superscript"/>
        <sz val="11"/>
        <color theme="1"/>
        <rFont val="Calibri"/>
        <family val="2"/>
      </rPr>
      <t xml:space="preserve">(1) </t>
    </r>
    <r>
      <rPr>
        <sz val="11"/>
        <color theme="1"/>
        <rFont val="Calibri"/>
        <family val="2"/>
        <scheme val="minor"/>
      </rPr>
      <t>Weather normalized volume and base schedule margin for 12 months ending June 2021, at approved rates from UG-220067 GRC compliance filing.</t>
    </r>
  </si>
  <si>
    <r>
      <rPr>
        <vertAlign val="superscript"/>
        <sz val="11"/>
        <color theme="1"/>
        <rFont val="Calibri"/>
        <family val="2"/>
      </rPr>
      <t xml:space="preserve">(2) </t>
    </r>
    <r>
      <rPr>
        <sz val="11"/>
        <color theme="1"/>
        <rFont val="Calibri"/>
        <family val="2"/>
        <scheme val="minor"/>
      </rPr>
      <t>Forecasted revenues at current rates effective October 1, 2023.</t>
    </r>
  </si>
  <si>
    <t>Typical Residential Bill Impacts</t>
  </si>
  <si>
    <t>Schedule 111 Cap &amp; Invest</t>
  </si>
  <si>
    <t>Current Rates</t>
  </si>
  <si>
    <t>Rate Change</t>
  </si>
  <si>
    <r>
      <t>Rates</t>
    </r>
    <r>
      <rPr>
        <vertAlign val="superscript"/>
        <sz val="11"/>
        <rFont val="Calibri"/>
        <family val="2"/>
        <scheme val="minor"/>
      </rPr>
      <t xml:space="preserve"> (1)</t>
    </r>
  </si>
  <si>
    <t>Charges</t>
  </si>
  <si>
    <t>Rates</t>
  </si>
  <si>
    <t>Volume (therms)</t>
  </si>
  <si>
    <t>Customer charge ($/month)</t>
  </si>
  <si>
    <t>Basic charge (Sch. 23)</t>
  </si>
  <si>
    <t>Subtotal</t>
  </si>
  <si>
    <t>Cap &amp; Invest Non-Vol Credit (Sch. 111)</t>
  </si>
  <si>
    <t>Volumetric charges ($/therm)</t>
  </si>
  <si>
    <t>Delivery charge (Sch. 23)</t>
  </si>
  <si>
    <t>Cap &amp; Invest charge (Sch. 111)</t>
  </si>
  <si>
    <t>Low Income charge (Sch. 129)</t>
  </si>
  <si>
    <t>Low Income Discount charge (Sch. 129D)</t>
  </si>
  <si>
    <t>Property Tax charge (Sch. 140)</t>
  </si>
  <si>
    <t>Dist. Pipeline Provisional (Sch. 141D)</t>
  </si>
  <si>
    <t>Rates Not Subject to Refund (Sch. 141N)</t>
  </si>
  <si>
    <t>Rates Subject to Refund (Sch. 141R)</t>
  </si>
  <si>
    <t>UP EDIT adjusting charge (Sch. 141Z)</t>
  </si>
  <si>
    <t>Decoupling charge (Sch. 142)</t>
  </si>
  <si>
    <t>Conservation charge (Sch. 120)</t>
  </si>
  <si>
    <t>Gas cost charge (Sch. 101)</t>
  </si>
  <si>
    <t>Gas cost amort. charge (Sch. 106)</t>
  </si>
  <si>
    <t>Total volumetric charges</t>
  </si>
  <si>
    <t>Total monthly bill</t>
  </si>
  <si>
    <t>Change from bill under current rates</t>
  </si>
  <si>
    <t>Percent change from bill under current rates</t>
  </si>
  <si>
    <t>Total volumetric rates less gas costs</t>
  </si>
  <si>
    <r>
      <rPr>
        <vertAlign val="superscript"/>
        <sz val="11"/>
        <rFont val="Calibri"/>
        <family val="2"/>
        <scheme val="minor"/>
      </rPr>
      <t xml:space="preserve">(1) </t>
    </r>
    <r>
      <rPr>
        <sz val="11"/>
        <rFont val="Calibri"/>
        <family val="2"/>
        <scheme val="minor"/>
      </rPr>
      <t>Rates for Schedule 23 customers in effect October 1, 2023</t>
    </r>
  </si>
  <si>
    <t>Greenhouse Gas Emissions Cap and Invest Adjustment</t>
  </si>
  <si>
    <t>Proposed Rates</t>
  </si>
  <si>
    <t>Sched 111</t>
  </si>
  <si>
    <t>Volume (Therms)</t>
  </si>
  <si>
    <t>Deferral</t>
  </si>
  <si>
    <t>Non-Volumetric Credits:</t>
  </si>
  <si>
    <t>Current</t>
  </si>
  <si>
    <t>Customer Counts</t>
  </si>
  <si>
    <t>Monthly NVC</t>
  </si>
  <si>
    <r>
      <t xml:space="preserve">Residential Gas Lights </t>
    </r>
    <r>
      <rPr>
        <vertAlign val="superscript"/>
        <sz val="11"/>
        <color theme="1"/>
        <rFont val="Calibri"/>
        <family val="2"/>
        <scheme val="minor"/>
      </rPr>
      <t>(1)</t>
    </r>
  </si>
  <si>
    <t>Cred. Rates</t>
  </si>
  <si>
    <t>Total Non-Volumetric &amp; Volumetric Credits</t>
  </si>
  <si>
    <r>
      <rPr>
        <vertAlign val="superscript"/>
        <sz val="11"/>
        <color theme="1"/>
        <rFont val="Calibri"/>
        <family val="2"/>
        <scheme val="minor"/>
      </rPr>
      <t>(1)</t>
    </r>
    <r>
      <rPr>
        <sz val="11"/>
        <color theme="1"/>
        <rFont val="Calibri"/>
        <family val="2"/>
        <scheme val="minor"/>
      </rPr>
      <t xml:space="preserve"> Customer Counts for this schedule are mantle counts since gas lighting is billed per mantle.</t>
    </r>
  </si>
  <si>
    <t>Calculation of Schedule 111 State Carbon Reduction Credit Monthly Non-Volumetric Rates for Schedule's 23, 31 &amp; 31T</t>
  </si>
  <si>
    <t>Schedule 31 &amp; 31T</t>
  </si>
  <si>
    <r>
      <t xml:space="preserve">Low Income Customer Counts </t>
    </r>
    <r>
      <rPr>
        <b/>
        <u/>
        <vertAlign val="superscript"/>
        <sz val="11"/>
        <color theme="1"/>
        <rFont val="Calibri"/>
        <family val="2"/>
        <scheme val="minor"/>
      </rPr>
      <t>(1)</t>
    </r>
    <r>
      <rPr>
        <b/>
        <u/>
        <sz val="11"/>
        <color theme="1"/>
        <rFont val="Calibri"/>
        <family val="2"/>
        <scheme val="minor"/>
      </rPr>
      <t>:</t>
    </r>
  </si>
  <si>
    <t>Low Income Therm &amp; Customer Forecast</t>
  </si>
  <si>
    <r>
      <t xml:space="preserve">31 </t>
    </r>
    <r>
      <rPr>
        <vertAlign val="superscript"/>
        <sz val="11"/>
        <color theme="1"/>
        <rFont val="Calibri"/>
        <family val="2"/>
        <scheme val="minor"/>
      </rPr>
      <t>(1)</t>
    </r>
  </si>
  <si>
    <r>
      <t xml:space="preserve">31T </t>
    </r>
    <r>
      <rPr>
        <vertAlign val="superscript"/>
        <sz val="11"/>
        <color theme="1"/>
        <rFont val="Calibri"/>
        <family val="2"/>
        <scheme val="minor"/>
      </rPr>
      <t>(1)</t>
    </r>
  </si>
  <si>
    <r>
      <rPr>
        <vertAlign val="superscript"/>
        <sz val="11"/>
        <color theme="1"/>
        <rFont val="Calibri"/>
        <family val="2"/>
        <scheme val="minor"/>
      </rPr>
      <t>(1)</t>
    </r>
    <r>
      <rPr>
        <sz val="11"/>
        <color theme="1"/>
        <rFont val="Calibri"/>
        <family val="2"/>
        <scheme val="minor"/>
      </rPr>
      <t xml:space="preserve"> Sch. 31 &amp; 31T therms and customer counts adjusted since there are customers actually on Sch. 31T that wasn't reflected in the original forecast.</t>
    </r>
  </si>
  <si>
    <r>
      <rPr>
        <vertAlign val="superscript"/>
        <sz val="11"/>
        <color theme="1"/>
        <rFont val="Calibri"/>
        <family val="2"/>
        <scheme val="minor"/>
      </rPr>
      <t>(1)</t>
    </r>
    <r>
      <rPr>
        <sz val="11"/>
        <color theme="1"/>
        <rFont val="Calibri"/>
        <family val="2"/>
        <scheme val="minor"/>
      </rPr>
      <t xml:space="preserve"> CY2022 actual annual billed therms for &gt;25,000 metric ton emission customers allocated to the months using the F2023 forecast.</t>
    </r>
  </si>
  <si>
    <r>
      <rPr>
        <vertAlign val="superscript"/>
        <sz val="11"/>
        <color theme="1"/>
        <rFont val="Calibri"/>
        <family val="2"/>
        <scheme val="minor"/>
      </rPr>
      <t>(2)</t>
    </r>
    <r>
      <rPr>
        <sz val="11"/>
        <color theme="1"/>
        <rFont val="Calibri"/>
        <family val="2"/>
        <scheme val="minor"/>
      </rPr>
      <t xml:space="preserve"> CY2022 actual annual billed therms for national security customers allocated to the months using the F2023 forecast.</t>
    </r>
  </si>
  <si>
    <r>
      <rPr>
        <vertAlign val="superscript"/>
        <sz val="11"/>
        <color theme="1"/>
        <rFont val="Calibri"/>
        <family val="2"/>
        <scheme val="minor"/>
      </rPr>
      <t>(3)</t>
    </r>
    <r>
      <rPr>
        <sz val="11"/>
        <color theme="1"/>
        <rFont val="Calibri"/>
        <family val="2"/>
        <scheme val="minor"/>
      </rPr>
      <t xml:space="preserve"> CY2022 actual annual billed therms for emissions intensive trade exposed customers allocated to the months using the F2023 forecast.</t>
    </r>
  </si>
  <si>
    <t>Low Income Volumetric Credits:</t>
  </si>
  <si>
    <t>Gas Schedule 111 State Carbon Reduction Credits</t>
  </si>
  <si>
    <t>Current Charge Rates</t>
  </si>
  <si>
    <t>Proposed Charge Rates</t>
  </si>
  <si>
    <t>Gas Schedule 111 State Carbon Reduction Charge</t>
  </si>
  <si>
    <t>Gas Schedule 111 Greenhouse Gas Emissions Cap and Invest Adjustment</t>
  </si>
  <si>
    <t>Summary of Proposed Schedule 111 Rates</t>
  </si>
  <si>
    <t>Current Non-Volumetric Credits</t>
  </si>
  <si>
    <t>Proposed Non-Volumetric Credits</t>
  </si>
  <si>
    <t>Current Low Income Volumetric Credits</t>
  </si>
  <si>
    <t>Proposed Low Income Volumetric Credits</t>
  </si>
  <si>
    <t>Seasonal Non-Volumetric Credits:</t>
  </si>
  <si>
    <t>Current Seasonal Non-Volumetric Credits</t>
  </si>
  <si>
    <t>Month</t>
  </si>
  <si>
    <t>Sch. 23 Residential</t>
  </si>
  <si>
    <t>Sch. 31 Commercial &amp; Industrial</t>
  </si>
  <si>
    <t>Proposed Seasonal Non-Volumetric Credits</t>
  </si>
  <si>
    <t>Sch. 31T Commercial &amp; Industrial Transportation</t>
  </si>
  <si>
    <t>Seasonal Non-Volumetric Credit</t>
  </si>
  <si>
    <t>Volumetric Charges:</t>
  </si>
  <si>
    <t>Residential Gas Lights (Per Mantle)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</si>
</sst>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5" formatCode="&quot;$&quot;#,##0_);\(&quot;$&quot;#,##0\)"/>
    <numFmt numFmtId="42" formatCode="_(&quot;$&quot;* #,##0_);_(&quot;$&quot;* \(#,##0\);_(&quot;$&quot;* &quot;-&quot;_);_(@_)"/>
    <numFmt numFmtId="44" formatCode="_(&quot;$&quot;* #,##0.00_);_(&quot;$&quot;* \(#,##0.00\);_(&quot;$&quot;* &quot;-&quot;??_);_(@_)"/>
    <numFmt numFmtId="43" formatCode="_(* #,##0.00_);_(* \(#,##0.00\);_(* &quot;-&quot;??_);_(@_)"/>
    <numFmt numFmtId="164" formatCode="_(* #,##0_);_(* \(#,##0\);_(* &quot;-&quot;??_);_(@_)"/>
    <numFmt numFmtId="165" formatCode="0.0%"/>
    <numFmt numFmtId="166" formatCode="_(&quot;$&quot;* #,##0.00000_);_(&quot;$&quot;* \(#,##0.00000\);_(&quot;$&quot;* &quot;-&quot;??_);_(@_)"/>
    <numFmt numFmtId="167" formatCode="_(&quot;$&quot;* #,##0_);_(&quot;$&quot;* \(#,##0\);_(&quot;$&quot;* &quot;-&quot;??_);_(@_)"/>
    <numFmt numFmtId="168" formatCode="_(&quot;$&quot;* #,##0_);[Red]_(&quot;$&quot;* \(#,##0\);_(&quot;$&quot;* &quot;-&quot;_);_(@_)"/>
    <numFmt numFmtId="169" formatCode="0.000%"/>
    <numFmt numFmtId="170" formatCode="_(&quot;$&quot;* #,##0.00_);_(&quot;$&quot;* \(#,##0.00\);_(&quot;$&quot;* &quot;-&quot;_);_(@_)"/>
    <numFmt numFmtId="171" formatCode="_(&quot;$&quot;* #,##0.00000_);_(&quot;$&quot;* \(#,##0.00000\);_(&quot;$&quot;* &quot;-&quot;?????_);_(@_)"/>
  </numFmts>
  <fonts count="27" x14ac:knownFonts="1">
    <font>
      <sz val="11"/>
      <color theme="1"/>
      <name val="Calibri"/>
      <family val="2"/>
      <scheme val="minor"/>
    </font>
    <font>
      <sz val="11"/>
      <color theme="1"/>
      <name val="Calibri"/>
      <family val="2"/>
      <scheme val="minor"/>
    </font>
    <font>
      <sz val="11"/>
      <color rgb="FFFF0000"/>
      <name val="Calibri"/>
      <family val="2"/>
      <scheme val="minor"/>
    </font>
    <font>
      <vertAlign val="superscript"/>
      <sz val="11"/>
      <color theme="1"/>
      <name val="Calibri"/>
      <family val="2"/>
      <scheme val="minor"/>
    </font>
    <font>
      <sz val="11"/>
      <color rgb="FF008080"/>
      <name val="Calibri"/>
      <family val="2"/>
      <scheme val="minor"/>
    </font>
    <font>
      <sz val="11"/>
      <name val="Calibri"/>
      <family val="2"/>
      <scheme val="minor"/>
    </font>
    <font>
      <sz val="11"/>
      <color theme="1"/>
      <name val="Times New Roman"/>
      <family val="1"/>
    </font>
    <font>
      <sz val="14"/>
      <color rgb="FFFF0000"/>
      <name val="Times New Roman"/>
      <family val="1"/>
    </font>
    <font>
      <b/>
      <sz val="14"/>
      <color rgb="FF0000FF"/>
      <name val="Times New Roman"/>
      <family val="1"/>
    </font>
    <font>
      <b/>
      <sz val="14"/>
      <color rgb="FFFF0000"/>
      <name val="Times New Roman"/>
      <family val="1"/>
    </font>
    <font>
      <sz val="14"/>
      <color theme="1"/>
      <name val="Times New Roman"/>
      <family val="1"/>
    </font>
    <font>
      <b/>
      <sz val="12"/>
      <color theme="1"/>
      <name val="Times New Roman"/>
      <family val="1"/>
    </font>
    <font>
      <sz val="10"/>
      <color theme="1"/>
      <name val="Times New Roman"/>
      <family val="1"/>
    </font>
    <font>
      <sz val="11"/>
      <color rgb="FF0000FF"/>
      <name val="Calibri"/>
      <family val="2"/>
      <scheme val="minor"/>
    </font>
    <font>
      <b/>
      <u/>
      <sz val="11"/>
      <color theme="1"/>
      <name val="Calibri"/>
      <family val="2"/>
      <scheme val="minor"/>
    </font>
    <font>
      <b/>
      <sz val="11"/>
      <color theme="1"/>
      <name val="Calibri"/>
      <family val="2"/>
      <scheme val="minor"/>
    </font>
    <font>
      <b/>
      <u/>
      <vertAlign val="superscript"/>
      <sz val="11"/>
      <color theme="1"/>
      <name val="Calibri"/>
      <family val="2"/>
      <scheme val="minor"/>
    </font>
    <font>
      <b/>
      <u/>
      <sz val="11"/>
      <color rgb="FF0000FF"/>
      <name val="Calibri"/>
      <family val="2"/>
      <scheme val="minor"/>
    </font>
    <font>
      <b/>
      <sz val="14"/>
      <color theme="1"/>
      <name val="Times New Roman"/>
      <family val="1"/>
    </font>
    <font>
      <sz val="8"/>
      <color rgb="FFFF0066"/>
      <name val="Times New Roman"/>
      <family val="1"/>
    </font>
    <font>
      <vertAlign val="superscript"/>
      <sz val="11"/>
      <color theme="1"/>
      <name val="Calibri"/>
      <family val="2"/>
    </font>
    <font>
      <u/>
      <sz val="11"/>
      <name val="Calibri"/>
      <family val="2"/>
    </font>
    <font>
      <b/>
      <sz val="11"/>
      <name val="Calibri"/>
      <family val="2"/>
    </font>
    <font>
      <sz val="11"/>
      <name val="Calibri"/>
      <family val="2"/>
    </font>
    <font>
      <vertAlign val="superscript"/>
      <sz val="11"/>
      <name val="Calibri"/>
      <family val="2"/>
      <scheme val="minor"/>
    </font>
    <font>
      <sz val="11"/>
      <color indexed="12"/>
      <name val="Calibri"/>
      <family val="2"/>
      <scheme val="minor"/>
    </font>
    <font>
      <b/>
      <sz val="11"/>
      <name val="Calibri"/>
      <family val="2"/>
      <scheme val="minor"/>
    </font>
  </fonts>
  <fills count="3">
    <fill>
      <patternFill patternType="none"/>
    </fill>
    <fill>
      <patternFill patternType="gray125"/>
    </fill>
    <fill>
      <patternFill patternType="solid">
        <fgColor theme="9" tint="0.59999389629810485"/>
        <bgColor indexed="64"/>
      </patternFill>
    </fill>
  </fills>
  <borders count="7">
    <border>
      <left/>
      <right/>
      <top/>
      <bottom/>
      <diagonal/>
    </border>
    <border>
      <left/>
      <right/>
      <top/>
      <bottom style="thin">
        <color indexed="64"/>
      </bottom>
      <diagonal/>
    </border>
    <border>
      <left/>
      <right/>
      <top style="thin">
        <color indexed="64"/>
      </top>
      <bottom/>
      <diagonal/>
    </border>
    <border>
      <left/>
      <right/>
      <top style="thin">
        <color indexed="64"/>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44" fontId="1" fillId="0" borderId="0" applyFont="0" applyFill="0" applyBorder="0" applyAlignment="0" applyProtection="0"/>
  </cellStyleXfs>
  <cellXfs count="216">
    <xf numFmtId="0" fontId="0" fillId="0" borderId="0" xfId="0"/>
    <xf numFmtId="0" fontId="1" fillId="0" borderId="0" xfId="0" applyFont="1"/>
    <xf numFmtId="0" fontId="1" fillId="0" borderId="0" xfId="0" applyFont="1" applyAlignment="1">
      <alignment horizontal="centerContinuous"/>
    </xf>
    <xf numFmtId="0" fontId="1" fillId="0" borderId="0" xfId="0" applyFont="1" applyFill="1" applyBorder="1" applyAlignment="1">
      <alignment horizontal="center"/>
    </xf>
    <xf numFmtId="0" fontId="1" fillId="0" borderId="0" xfId="0" applyFont="1" applyBorder="1" applyAlignment="1">
      <alignment horizontal="center"/>
    </xf>
    <xf numFmtId="0" fontId="1" fillId="0" borderId="0" xfId="0" applyFont="1" applyAlignment="1">
      <alignment horizontal="center"/>
    </xf>
    <xf numFmtId="0" fontId="1" fillId="0" borderId="1" xfId="0" applyFont="1" applyBorder="1" applyAlignment="1">
      <alignment horizontal="center"/>
    </xf>
    <xf numFmtId="0" fontId="1" fillId="0" borderId="0" xfId="0" applyFont="1" applyFill="1" applyAlignment="1">
      <alignment horizontal="center"/>
    </xf>
    <xf numFmtId="164" fontId="4" fillId="0" borderId="0" xfId="0" applyNumberFormat="1" applyFont="1" applyFill="1"/>
    <xf numFmtId="165" fontId="5" fillId="0" borderId="0" xfId="0" applyNumberFormat="1" applyFont="1"/>
    <xf numFmtId="42" fontId="1" fillId="0" borderId="0" xfId="0" applyNumberFormat="1" applyFont="1"/>
    <xf numFmtId="166" fontId="1" fillId="0" borderId="0" xfId="0" applyNumberFormat="1" applyFont="1" applyFill="1"/>
    <xf numFmtId="44" fontId="1" fillId="0" borderId="0" xfId="0" applyNumberFormat="1" applyFont="1" applyFill="1"/>
    <xf numFmtId="42" fontId="1" fillId="0" borderId="2" xfId="0" applyNumberFormat="1" applyFont="1" applyBorder="1"/>
    <xf numFmtId="42" fontId="1" fillId="0" borderId="0" xfId="0" applyNumberFormat="1" applyFont="1" applyBorder="1"/>
    <xf numFmtId="165" fontId="1" fillId="0" borderId="0" xfId="0" applyNumberFormat="1" applyFont="1"/>
    <xf numFmtId="42" fontId="4" fillId="0" borderId="0" xfId="0" applyNumberFormat="1" applyFont="1" applyFill="1"/>
    <xf numFmtId="42" fontId="2" fillId="0" borderId="0" xfId="0" applyNumberFormat="1" applyFont="1"/>
    <xf numFmtId="0" fontId="1" fillId="0" borderId="0" xfId="0" applyFont="1" applyFill="1"/>
    <xf numFmtId="3" fontId="1" fillId="0" borderId="0" xfId="0" applyNumberFormat="1" applyFont="1" applyFill="1"/>
    <xf numFmtId="164" fontId="1" fillId="0" borderId="2" xfId="0" applyNumberFormat="1" applyFont="1" applyFill="1" applyBorder="1"/>
    <xf numFmtId="165" fontId="1" fillId="0" borderId="2" xfId="0" applyNumberFormat="1" applyFont="1" applyBorder="1"/>
    <xf numFmtId="164" fontId="1" fillId="0" borderId="0" xfId="0" applyNumberFormat="1" applyFont="1" applyFill="1"/>
    <xf numFmtId="0" fontId="0" fillId="0" borderId="0" xfId="0" applyFont="1" applyFill="1" applyBorder="1" applyAlignment="1">
      <alignment horizontal="center"/>
    </xf>
    <xf numFmtId="0" fontId="0" fillId="0" borderId="0" xfId="0" applyFont="1" applyFill="1" applyAlignment="1">
      <alignment horizontal="center"/>
    </xf>
    <xf numFmtId="0" fontId="6" fillId="0" borderId="0" xfId="0" applyFont="1"/>
    <xf numFmtId="0" fontId="7" fillId="0" borderId="0" xfId="0" applyFont="1"/>
    <xf numFmtId="0" fontId="8" fillId="2" borderId="0" xfId="0" applyFont="1" applyFill="1" applyAlignment="1">
      <alignment horizontal="centerContinuous"/>
    </xf>
    <xf numFmtId="0" fontId="10" fillId="2" borderId="0" xfId="0" applyFont="1" applyFill="1" applyAlignment="1">
      <alignment horizontal="centerContinuous"/>
    </xf>
    <xf numFmtId="0" fontId="6" fillId="2" borderId="0" xfId="0" applyFont="1" applyFill="1" applyAlignment="1">
      <alignment horizontal="centerContinuous"/>
    </xf>
    <xf numFmtId="0" fontId="8" fillId="0" borderId="0" xfId="0" applyFont="1" applyFill="1"/>
    <xf numFmtId="0" fontId="10" fillId="0" borderId="0" xfId="0" applyFont="1" applyFill="1"/>
    <xf numFmtId="0" fontId="6" fillId="0" borderId="0" xfId="0" applyFont="1" applyFill="1"/>
    <xf numFmtId="0" fontId="11" fillId="0" borderId="0" xfId="0" applyFont="1" applyAlignment="1">
      <alignment horizontal="centerContinuous"/>
    </xf>
    <xf numFmtId="0" fontId="6" fillId="0" borderId="0" xfId="0" applyFont="1" applyAlignment="1">
      <alignment horizontal="centerContinuous"/>
    </xf>
    <xf numFmtId="0" fontId="6" fillId="0" borderId="0" xfId="0" applyFont="1" applyAlignment="1">
      <alignment horizontal="center"/>
    </xf>
    <xf numFmtId="168" fontId="6" fillId="0" borderId="0" xfId="0" applyNumberFormat="1" applyFont="1" applyFill="1" applyAlignment="1" applyProtection="1">
      <alignment horizontal="left"/>
    </xf>
    <xf numFmtId="9" fontId="12" fillId="0" borderId="0" xfId="0" applyNumberFormat="1" applyFont="1" applyFill="1" applyAlignment="1"/>
    <xf numFmtId="168" fontId="12" fillId="0" borderId="0" xfId="0" applyNumberFormat="1" applyFont="1" applyFill="1" applyAlignment="1" applyProtection="1">
      <alignment horizontal="left"/>
    </xf>
    <xf numFmtId="0" fontId="0" fillId="0" borderId="0" xfId="0" applyFont="1"/>
    <xf numFmtId="0" fontId="0" fillId="0" borderId="0" xfId="0" applyFont="1" applyFill="1" applyAlignment="1">
      <alignment horizontal="centerContinuous"/>
    </xf>
    <xf numFmtId="0" fontId="0" fillId="0" borderId="0" xfId="0" applyFont="1" applyFill="1"/>
    <xf numFmtId="0" fontId="0" fillId="0" borderId="0" xfId="0" applyFont="1" applyFill="1" applyAlignment="1">
      <alignment horizontal="left"/>
    </xf>
    <xf numFmtId="0" fontId="0" fillId="0" borderId="1" xfId="0" applyFont="1" applyFill="1" applyBorder="1"/>
    <xf numFmtId="17" fontId="13" fillId="0" borderId="1" xfId="0" applyNumberFormat="1" applyFont="1" applyFill="1" applyBorder="1" applyAlignment="1">
      <alignment horizontal="center"/>
    </xf>
    <xf numFmtId="17" fontId="0" fillId="0" borderId="1" xfId="0" applyNumberFormat="1" applyFont="1" applyFill="1" applyBorder="1" applyAlignment="1">
      <alignment horizontal="center"/>
    </xf>
    <xf numFmtId="0" fontId="0" fillId="0" borderId="1" xfId="0" applyFont="1" applyFill="1" applyBorder="1" applyAlignment="1">
      <alignment horizontal="center"/>
    </xf>
    <xf numFmtId="3" fontId="13" fillId="0" borderId="0" xfId="0" applyNumberFormat="1" applyFont="1" applyFill="1"/>
    <xf numFmtId="3" fontId="0" fillId="0" borderId="0" xfId="0" applyNumberFormat="1" applyFont="1" applyFill="1"/>
    <xf numFmtId="0" fontId="0" fillId="0" borderId="1" xfId="0" applyFont="1" applyFill="1" applyBorder="1" applyAlignment="1">
      <alignment horizontal="left"/>
    </xf>
    <xf numFmtId="0" fontId="0" fillId="0" borderId="0" xfId="0" applyFont="1" applyAlignment="1">
      <alignment horizontal="left"/>
    </xf>
    <xf numFmtId="3" fontId="0" fillId="0" borderId="2" xfId="0" applyNumberFormat="1" applyFont="1" applyBorder="1"/>
    <xf numFmtId="3" fontId="0" fillId="0" borderId="0" xfId="0" applyNumberFormat="1" applyFont="1"/>
    <xf numFmtId="0" fontId="14" fillId="0" borderId="0" xfId="0" applyFont="1" applyFill="1" applyAlignment="1">
      <alignment horizontal="left"/>
    </xf>
    <xf numFmtId="3" fontId="4" fillId="0" borderId="0" xfId="0" applyNumberFormat="1" applyFont="1" applyFill="1"/>
    <xf numFmtId="0" fontId="1" fillId="0" borderId="0" xfId="0" applyFont="1" applyAlignment="1">
      <alignment horizontal="center"/>
    </xf>
    <xf numFmtId="0" fontId="0" fillId="0" borderId="0" xfId="0" applyFont="1" applyAlignment="1">
      <alignment horizontal="center"/>
    </xf>
    <xf numFmtId="169" fontId="5" fillId="0" borderId="0" xfId="0" applyNumberFormat="1" applyFont="1"/>
    <xf numFmtId="0" fontId="0" fillId="0" borderId="0" xfId="0" applyFont="1" applyAlignment="1">
      <alignment horizontal="centerContinuous"/>
    </xf>
    <xf numFmtId="0" fontId="0" fillId="0" borderId="0" xfId="0" applyFont="1" applyBorder="1" applyAlignment="1">
      <alignment horizontal="center"/>
    </xf>
    <xf numFmtId="0" fontId="0" fillId="0" borderId="1" xfId="0" applyFont="1" applyBorder="1" applyAlignment="1">
      <alignment horizontal="center"/>
    </xf>
    <xf numFmtId="42" fontId="0" fillId="0" borderId="0" xfId="0" applyNumberFormat="1" applyFont="1"/>
    <xf numFmtId="164" fontId="0" fillId="0" borderId="0" xfId="0" applyNumberFormat="1" applyFont="1"/>
    <xf numFmtId="44" fontId="0" fillId="0" borderId="0" xfId="0" applyNumberFormat="1" applyFont="1" applyFill="1"/>
    <xf numFmtId="44" fontId="0" fillId="0" borderId="0" xfId="0" applyNumberFormat="1" applyFont="1"/>
    <xf numFmtId="164" fontId="0" fillId="0" borderId="2" xfId="0" applyNumberFormat="1" applyFont="1" applyFill="1" applyBorder="1"/>
    <xf numFmtId="165" fontId="0" fillId="0" borderId="2" xfId="0" applyNumberFormat="1" applyFont="1" applyBorder="1"/>
    <xf numFmtId="42" fontId="0" fillId="0" borderId="2" xfId="0" applyNumberFormat="1" applyFont="1" applyBorder="1"/>
    <xf numFmtId="164" fontId="0" fillId="0" borderId="2" xfId="0" applyNumberFormat="1" applyFont="1" applyBorder="1"/>
    <xf numFmtId="165" fontId="0" fillId="0" borderId="0" xfId="0" applyNumberFormat="1" applyFont="1"/>
    <xf numFmtId="44" fontId="0" fillId="0" borderId="2" xfId="0" applyNumberFormat="1" applyFont="1" applyFill="1" applyBorder="1"/>
    <xf numFmtId="166" fontId="4" fillId="0" borderId="0" xfId="0" applyNumberFormat="1" applyFont="1" applyFill="1"/>
    <xf numFmtId="0" fontId="1" fillId="0" borderId="0" xfId="0" applyFont="1" applyAlignment="1">
      <alignment horizontal="center"/>
    </xf>
    <xf numFmtId="0" fontId="0" fillId="0" borderId="0" xfId="0" applyFont="1" applyAlignment="1">
      <alignment horizontal="center"/>
    </xf>
    <xf numFmtId="0" fontId="0" fillId="0" borderId="0" xfId="0" applyFont="1" applyFill="1" applyAlignment="1">
      <alignment horizontal="center"/>
    </xf>
    <xf numFmtId="3" fontId="0" fillId="0" borderId="0" xfId="0" applyNumberFormat="1" applyFont="1" applyFill="1" applyBorder="1" applyAlignment="1">
      <alignment horizontal="center"/>
    </xf>
    <xf numFmtId="3" fontId="4" fillId="0" borderId="0" xfId="0" applyNumberFormat="1" applyFont="1" applyFill="1" applyAlignment="1">
      <alignment horizontal="center"/>
    </xf>
    <xf numFmtId="10" fontId="0" fillId="0" borderId="0" xfId="0" applyNumberFormat="1" applyFont="1" applyFill="1" applyAlignment="1">
      <alignment horizontal="center"/>
    </xf>
    <xf numFmtId="10" fontId="0" fillId="0" borderId="0" xfId="0" applyNumberFormat="1" applyFont="1" applyFill="1" applyBorder="1" applyAlignment="1">
      <alignment horizontal="center"/>
    </xf>
    <xf numFmtId="0" fontId="15" fillId="0" borderId="0" xfId="0" applyFont="1"/>
    <xf numFmtId="44" fontId="0" fillId="0" borderId="0" xfId="0" applyNumberFormat="1" applyFont="1" applyFill="1" applyAlignment="1">
      <alignment horizontal="center"/>
    </xf>
    <xf numFmtId="44" fontId="0" fillId="0" borderId="0" xfId="0" applyNumberFormat="1" applyFont="1" applyFill="1" applyBorder="1" applyAlignment="1">
      <alignment horizontal="center"/>
    </xf>
    <xf numFmtId="44" fontId="0" fillId="0" borderId="0" xfId="0" applyNumberFormat="1" applyFont="1"/>
    <xf numFmtId="167" fontId="4" fillId="0" borderId="0" xfId="0" applyNumberFormat="1" applyFont="1"/>
    <xf numFmtId="42" fontId="0" fillId="0" borderId="2" xfId="0" applyNumberFormat="1" applyFont="1" applyFill="1" applyBorder="1"/>
    <xf numFmtId="44" fontId="4" fillId="0" borderId="0" xfId="0" applyNumberFormat="1" applyFont="1" applyFill="1" applyBorder="1" applyAlignment="1">
      <alignment horizontal="center"/>
    </xf>
    <xf numFmtId="167" fontId="4" fillId="0" borderId="0" xfId="0" applyNumberFormat="1" applyFont="1"/>
    <xf numFmtId="0" fontId="13" fillId="0" borderId="1" xfId="0" applyFont="1" applyFill="1" applyBorder="1" applyAlignment="1">
      <alignment horizontal="center"/>
    </xf>
    <xf numFmtId="0" fontId="0" fillId="0" borderId="0" xfId="0" applyFont="1" applyFill="1" applyBorder="1" applyAlignment="1">
      <alignment horizontal="left"/>
    </xf>
    <xf numFmtId="0" fontId="14" fillId="0" borderId="0" xfId="0" applyFont="1" applyFill="1" applyBorder="1" applyAlignment="1">
      <alignment horizontal="left"/>
    </xf>
    <xf numFmtId="0" fontId="0" fillId="0" borderId="0" xfId="0" applyFont="1" applyAlignment="1">
      <alignment horizontal="center"/>
    </xf>
    <xf numFmtId="0" fontId="0" fillId="0" borderId="0" xfId="0" applyFont="1" applyAlignment="1">
      <alignment horizontal="center"/>
    </xf>
    <xf numFmtId="0" fontId="2" fillId="0" borderId="0" xfId="0" applyFont="1"/>
    <xf numFmtId="0" fontId="17" fillId="0" borderId="0" xfId="0" applyFont="1" applyFill="1" applyAlignment="1">
      <alignment horizontal="left"/>
    </xf>
    <xf numFmtId="0" fontId="13" fillId="0" borderId="0" xfId="0" applyFont="1" applyAlignment="1">
      <alignment horizontal="center"/>
    </xf>
    <xf numFmtId="0" fontId="0" fillId="0" borderId="0" xfId="0" applyFont="1" applyAlignment="1">
      <alignment vertical="top" wrapText="1"/>
    </xf>
    <xf numFmtId="0" fontId="2" fillId="0" borderId="0" xfId="0" applyFont="1" applyAlignment="1">
      <alignment horizontal="left"/>
    </xf>
    <xf numFmtId="43" fontId="2" fillId="0" borderId="0" xfId="0" applyNumberFormat="1" applyFont="1" applyBorder="1"/>
    <xf numFmtId="0" fontId="18" fillId="0" borderId="0" xfId="0" applyFont="1"/>
    <xf numFmtId="0" fontId="11" fillId="0" borderId="0" xfId="0" applyFont="1"/>
    <xf numFmtId="0" fontId="19" fillId="0" borderId="0" xfId="0" applyFont="1" applyAlignment="1">
      <alignment horizontal="right"/>
    </xf>
    <xf numFmtId="5" fontId="19" fillId="0" borderId="0" xfId="0" applyNumberFormat="1" applyFont="1"/>
    <xf numFmtId="164" fontId="6" fillId="0" borderId="0" xfId="0" applyNumberFormat="1" applyFont="1" applyAlignment="1">
      <alignment horizontal="center"/>
    </xf>
    <xf numFmtId="0" fontId="6" fillId="0" borderId="0" xfId="0" applyFont="1" applyFill="1" applyAlignment="1">
      <alignment horizontal="center"/>
    </xf>
    <xf numFmtId="37" fontId="6" fillId="0" borderId="2" xfId="0" applyNumberFormat="1" applyFont="1" applyFill="1" applyBorder="1"/>
    <xf numFmtId="37" fontId="6" fillId="0" borderId="0" xfId="0" applyNumberFormat="1" applyFont="1" applyFill="1"/>
    <xf numFmtId="5" fontId="6" fillId="0" borderId="3" xfId="0" applyNumberFormat="1" applyFont="1" applyFill="1" applyBorder="1"/>
    <xf numFmtId="0" fontId="0" fillId="0" borderId="0" xfId="0" applyFont="1" applyAlignment="1">
      <alignment horizontal="center"/>
    </xf>
    <xf numFmtId="0" fontId="0" fillId="0" borderId="0" xfId="0" applyFont="1" applyAlignment="1">
      <alignment horizontal="center"/>
    </xf>
    <xf numFmtId="0" fontId="0" fillId="0" borderId="0" xfId="0" applyAlignment="1">
      <alignment horizontal="center"/>
    </xf>
    <xf numFmtId="0" fontId="0" fillId="0" borderId="0" xfId="0" applyBorder="1" applyAlignment="1">
      <alignment horizontal="center"/>
    </xf>
    <xf numFmtId="0" fontId="13" fillId="0" borderId="0" xfId="0" applyFont="1" applyBorder="1" applyAlignment="1">
      <alignment horizontal="center"/>
    </xf>
    <xf numFmtId="0" fontId="0" fillId="0" borderId="1" xfId="0" applyBorder="1" applyAlignment="1">
      <alignment horizontal="center"/>
    </xf>
    <xf numFmtId="0" fontId="13" fillId="0" borderId="1" xfId="0" quotePrefix="1" applyFont="1" applyFill="1" applyBorder="1" applyAlignment="1">
      <alignment horizontal="center"/>
    </xf>
    <xf numFmtId="3" fontId="0" fillId="0" borderId="0" xfId="0" applyNumberFormat="1" applyBorder="1" applyAlignment="1">
      <alignment horizontal="center"/>
    </xf>
    <xf numFmtId="42" fontId="0" fillId="0" borderId="0" xfId="0" applyNumberFormat="1" applyBorder="1" applyAlignment="1">
      <alignment horizontal="center"/>
    </xf>
    <xf numFmtId="42" fontId="0" fillId="0" borderId="0" xfId="0" applyNumberFormat="1" applyFont="1" applyBorder="1" applyAlignment="1">
      <alignment horizontal="center"/>
    </xf>
    <xf numFmtId="3" fontId="4" fillId="0" borderId="0" xfId="0" applyNumberFormat="1" applyFont="1"/>
    <xf numFmtId="42" fontId="4" fillId="0" borderId="0" xfId="0" applyNumberFormat="1" applyFont="1"/>
    <xf numFmtId="166" fontId="0" fillId="0" borderId="0" xfId="0" applyNumberFormat="1"/>
    <xf numFmtId="42" fontId="0" fillId="0" borderId="0" xfId="0" applyNumberFormat="1"/>
    <xf numFmtId="42" fontId="5" fillId="0" borderId="0" xfId="0" applyNumberFormat="1" applyFont="1"/>
    <xf numFmtId="10" fontId="0" fillId="0" borderId="0" xfId="0" applyNumberFormat="1" applyFont="1"/>
    <xf numFmtId="42" fontId="13" fillId="0" borderId="0" xfId="0" applyNumberFormat="1" applyFont="1"/>
    <xf numFmtId="10" fontId="13" fillId="0" borderId="0" xfId="0" applyNumberFormat="1" applyFont="1"/>
    <xf numFmtId="166" fontId="0" fillId="0" borderId="1" xfId="0" applyNumberFormat="1" applyBorder="1"/>
    <xf numFmtId="3" fontId="0" fillId="0" borderId="2" xfId="0" applyNumberFormat="1" applyBorder="1"/>
    <xf numFmtId="42" fontId="0" fillId="0" borderId="2" xfId="0" applyNumberFormat="1" applyBorder="1"/>
    <xf numFmtId="42" fontId="5" fillId="0" borderId="2" xfId="0" applyNumberFormat="1" applyFont="1" applyBorder="1"/>
    <xf numFmtId="10" fontId="0" fillId="0" borderId="2" xfId="0" applyNumberFormat="1" applyFont="1" applyBorder="1"/>
    <xf numFmtId="3" fontId="0" fillId="0" borderId="0" xfId="0" applyNumberFormat="1"/>
    <xf numFmtId="10" fontId="0" fillId="0" borderId="0" xfId="0" applyNumberFormat="1"/>
    <xf numFmtId="0" fontId="21" fillId="0" borderId="0" xfId="0" applyFont="1" applyBorder="1" applyAlignment="1">
      <alignment horizontal="left"/>
    </xf>
    <xf numFmtId="0" fontId="22" fillId="0" borderId="0" xfId="0" applyFont="1" applyAlignment="1">
      <alignment horizontal="left"/>
    </xf>
    <xf numFmtId="3" fontId="23" fillId="0" borderId="0" xfId="0" applyNumberFormat="1" applyFont="1" applyBorder="1"/>
    <xf numFmtId="42" fontId="23" fillId="0" borderId="0" xfId="0" applyNumberFormat="1" applyFont="1" applyBorder="1"/>
    <xf numFmtId="0" fontId="23" fillId="0" borderId="0" xfId="0" applyFont="1"/>
    <xf numFmtId="42" fontId="23" fillId="0" borderId="0" xfId="0" applyNumberFormat="1" applyFont="1"/>
    <xf numFmtId="10" fontId="23" fillId="0" borderId="0" xfId="0" applyNumberFormat="1" applyFont="1"/>
    <xf numFmtId="0" fontId="23" fillId="0" borderId="0" xfId="0" applyFont="1" applyAlignment="1">
      <alignment horizontal="left"/>
    </xf>
    <xf numFmtId="0" fontId="23" fillId="0" borderId="0" xfId="0" applyFont="1" applyAlignment="1">
      <alignment horizontal="center"/>
    </xf>
    <xf numFmtId="164" fontId="23" fillId="0" borderId="0" xfId="0" applyNumberFormat="1" applyFont="1" applyFill="1"/>
    <xf numFmtId="167" fontId="23" fillId="0" borderId="0" xfId="0" applyNumberFormat="1" applyFont="1" applyFill="1"/>
    <xf numFmtId="0" fontId="23" fillId="0" borderId="0" xfId="0" applyFont="1" applyFill="1" applyBorder="1" applyAlignment="1">
      <alignment horizontal="left"/>
    </xf>
    <xf numFmtId="0" fontId="23" fillId="0" borderId="0" xfId="0" applyFont="1" applyBorder="1" applyAlignment="1">
      <alignment horizontal="left"/>
    </xf>
    <xf numFmtId="164" fontId="23" fillId="0" borderId="2" xfId="0" applyNumberFormat="1" applyFont="1" applyFill="1" applyBorder="1"/>
    <xf numFmtId="167" fontId="23" fillId="0" borderId="2" xfId="0" applyNumberFormat="1" applyFont="1" applyFill="1" applyBorder="1"/>
    <xf numFmtId="166" fontId="0" fillId="0" borderId="2" xfId="0" applyNumberFormat="1" applyBorder="1"/>
    <xf numFmtId="0" fontId="23" fillId="0" borderId="0" xfId="0" applyFont="1" applyFill="1"/>
    <xf numFmtId="0" fontId="23" fillId="0" borderId="0" xfId="0" applyFont="1" applyBorder="1"/>
    <xf numFmtId="44" fontId="23" fillId="0" borderId="0" xfId="0" applyNumberFormat="1" applyFont="1"/>
    <xf numFmtId="0" fontId="5" fillId="0" borderId="0" xfId="0" applyFont="1" applyFill="1" applyAlignment="1">
      <alignment horizontal="centerContinuous"/>
    </xf>
    <xf numFmtId="0" fontId="5" fillId="0" borderId="0" xfId="0" applyFont="1"/>
    <xf numFmtId="0" fontId="5" fillId="0" borderId="0" xfId="0" applyFont="1" applyAlignment="1">
      <alignment horizontal="centerContinuous"/>
    </xf>
    <xf numFmtId="0" fontId="5" fillId="0" borderId="0" xfId="0" applyFont="1" applyBorder="1"/>
    <xf numFmtId="0" fontId="5" fillId="0" borderId="0" xfId="0" applyFont="1" applyBorder="1" applyAlignment="1">
      <alignment horizontal="centerContinuous"/>
    </xf>
    <xf numFmtId="0" fontId="5" fillId="0" borderId="1" xfId="0" applyFont="1" applyBorder="1" applyAlignment="1">
      <alignment horizontal="centerContinuous"/>
    </xf>
    <xf numFmtId="0" fontId="5" fillId="0" borderId="0" xfId="0" applyFont="1" applyBorder="1" applyAlignment="1">
      <alignment horizontal="left"/>
    </xf>
    <xf numFmtId="0" fontId="5" fillId="0" borderId="1" xfId="0" applyFont="1" applyBorder="1" applyAlignment="1">
      <alignment horizontal="center"/>
    </xf>
    <xf numFmtId="0" fontId="5" fillId="0" borderId="0" xfId="0" applyFont="1" applyBorder="1" applyAlignment="1">
      <alignment horizontal="center"/>
    </xf>
    <xf numFmtId="0" fontId="25" fillId="0" borderId="0" xfId="0" applyFont="1"/>
    <xf numFmtId="170" fontId="5" fillId="0" borderId="0" xfId="0" applyNumberFormat="1" applyFont="1"/>
    <xf numFmtId="0" fontId="25" fillId="0" borderId="0" xfId="0" applyFont="1" applyBorder="1"/>
    <xf numFmtId="44" fontId="4" fillId="0" borderId="0" xfId="0" applyNumberFormat="1" applyFont="1"/>
    <xf numFmtId="44" fontId="25" fillId="0" borderId="0" xfId="0" applyNumberFormat="1" applyFont="1" applyBorder="1"/>
    <xf numFmtId="44" fontId="5" fillId="0" borderId="0" xfId="0" applyNumberFormat="1" applyFont="1"/>
    <xf numFmtId="44" fontId="5" fillId="0" borderId="2" xfId="0" applyNumberFormat="1" applyFont="1" applyBorder="1"/>
    <xf numFmtId="44" fontId="5" fillId="0" borderId="0" xfId="0" applyNumberFormat="1" applyFont="1" applyBorder="1"/>
    <xf numFmtId="44" fontId="25" fillId="0" borderId="0" xfId="0" applyNumberFormat="1" applyFont="1"/>
    <xf numFmtId="171" fontId="4" fillId="0" borderId="0" xfId="0" applyNumberFormat="1" applyFont="1"/>
    <xf numFmtId="171" fontId="25" fillId="0" borderId="0" xfId="0" applyNumberFormat="1" applyFont="1" applyBorder="1"/>
    <xf numFmtId="171" fontId="5" fillId="0" borderId="0" xfId="0" applyNumberFormat="1" applyFont="1"/>
    <xf numFmtId="171" fontId="0" fillId="0" borderId="0" xfId="0" applyNumberFormat="1" applyFont="1"/>
    <xf numFmtId="171" fontId="5" fillId="0" borderId="2" xfId="0" applyNumberFormat="1" applyFont="1" applyBorder="1"/>
    <xf numFmtId="171" fontId="0" fillId="0" borderId="0" xfId="0" applyNumberFormat="1" applyFont="1" applyFill="1"/>
    <xf numFmtId="170" fontId="5" fillId="0" borderId="2" xfId="0" applyNumberFormat="1" applyFont="1" applyBorder="1"/>
    <xf numFmtId="171" fontId="5" fillId="0" borderId="0" xfId="0" applyNumberFormat="1" applyFont="1" applyBorder="1"/>
    <xf numFmtId="165" fontId="5" fillId="0" borderId="0" xfId="0" applyNumberFormat="1" applyFont="1" applyBorder="1"/>
    <xf numFmtId="10" fontId="5" fillId="0" borderId="0" xfId="0" applyNumberFormat="1" applyFont="1"/>
    <xf numFmtId="0" fontId="5" fillId="0" borderId="0" xfId="0" applyFont="1" applyFill="1" applyAlignment="1"/>
    <xf numFmtId="0" fontId="5" fillId="0" borderId="0" xfId="0" applyFont="1" applyAlignment="1"/>
    <xf numFmtId="0" fontId="26" fillId="0" borderId="0" xfId="0" applyFont="1" applyAlignment="1">
      <alignment horizontal="centerContinuous"/>
    </xf>
    <xf numFmtId="0" fontId="26" fillId="0" borderId="0" xfId="0" applyFont="1"/>
    <xf numFmtId="0" fontId="5" fillId="0" borderId="0" xfId="0" applyFont="1" applyAlignment="1">
      <alignment horizontal="center"/>
    </xf>
    <xf numFmtId="0" fontId="0" fillId="0" borderId="0" xfId="0" applyFont="1" applyBorder="1"/>
    <xf numFmtId="0" fontId="15" fillId="0" borderId="0" xfId="0" applyFont="1" applyBorder="1" applyAlignment="1">
      <alignment horizontal="center"/>
    </xf>
    <xf numFmtId="166" fontId="13" fillId="0" borderId="0" xfId="0" applyNumberFormat="1" applyFont="1"/>
    <xf numFmtId="166" fontId="0" fillId="0" borderId="0" xfId="0" applyNumberFormat="1" applyFont="1"/>
    <xf numFmtId="166" fontId="4" fillId="0" borderId="0" xfId="0" applyNumberFormat="1" applyFont="1"/>
    <xf numFmtId="42" fontId="15" fillId="0" borderId="0" xfId="0" applyNumberFormat="1" applyFont="1" applyBorder="1" applyAlignment="1">
      <alignment horizontal="center"/>
    </xf>
    <xf numFmtId="3" fontId="0" fillId="0" borderId="0" xfId="0" applyNumberFormat="1" applyFont="1" applyBorder="1"/>
    <xf numFmtId="0" fontId="0" fillId="0" borderId="0" xfId="0" quotePrefix="1" applyFont="1"/>
    <xf numFmtId="0" fontId="3" fillId="0" borderId="0" xfId="0" applyFont="1"/>
    <xf numFmtId="0" fontId="14" fillId="0" borderId="0" xfId="0" applyFont="1"/>
    <xf numFmtId="44" fontId="13" fillId="0" borderId="0" xfId="0" applyNumberFormat="1" applyFont="1"/>
    <xf numFmtId="0" fontId="15" fillId="0" borderId="5" xfId="0" applyFont="1" applyBorder="1"/>
    <xf numFmtId="42" fontId="15" fillId="0" borderId="5" xfId="0" applyNumberFormat="1" applyFont="1" applyBorder="1"/>
    <xf numFmtId="165" fontId="15" fillId="0" borderId="5" xfId="0" applyNumberFormat="1" applyFont="1" applyBorder="1"/>
    <xf numFmtId="167" fontId="15" fillId="0" borderId="5" xfId="1" applyNumberFormat="1" applyFont="1" applyBorder="1"/>
    <xf numFmtId="3" fontId="13" fillId="0" borderId="0" xfId="0" applyNumberFormat="1" applyFont="1"/>
    <xf numFmtId="171" fontId="13" fillId="0" borderId="0" xfId="0" applyNumberFormat="1" applyFont="1"/>
    <xf numFmtId="171" fontId="13" fillId="0" borderId="0" xfId="0" applyNumberFormat="1" applyFont="1" applyFill="1"/>
    <xf numFmtId="0" fontId="0" fillId="0" borderId="0" xfId="0" applyFont="1" applyAlignment="1">
      <alignment horizontal="center"/>
    </xf>
    <xf numFmtId="17" fontId="13" fillId="0" borderId="0" xfId="0" applyNumberFormat="1" applyFont="1" applyFill="1" applyBorder="1" applyAlignment="1">
      <alignment horizontal="center"/>
    </xf>
    <xf numFmtId="17" fontId="0" fillId="0" borderId="0" xfId="0" applyNumberFormat="1" applyFont="1" applyFill="1" applyBorder="1" applyAlignment="1">
      <alignment horizontal="center"/>
    </xf>
    <xf numFmtId="0" fontId="0" fillId="0" borderId="4" xfId="0" applyFont="1" applyBorder="1" applyAlignment="1">
      <alignment horizontal="center"/>
    </xf>
    <xf numFmtId="0" fontId="0" fillId="0" borderId="5" xfId="0" applyFont="1" applyBorder="1" applyAlignment="1">
      <alignment horizontal="center"/>
    </xf>
    <xf numFmtId="0" fontId="0" fillId="0" borderId="6" xfId="0" applyFont="1" applyBorder="1" applyAlignment="1">
      <alignment horizontal="center"/>
    </xf>
    <xf numFmtId="0" fontId="0" fillId="0" borderId="0" xfId="0" applyFont="1" applyAlignment="1">
      <alignment horizontal="center"/>
    </xf>
    <xf numFmtId="0" fontId="15" fillId="0" borderId="0" xfId="0" applyFont="1" applyAlignment="1">
      <alignment horizontal="center"/>
    </xf>
    <xf numFmtId="0" fontId="1" fillId="0" borderId="0" xfId="0" applyFont="1" applyAlignment="1">
      <alignment horizontal="center"/>
    </xf>
    <xf numFmtId="0" fontId="0" fillId="0" borderId="0" xfId="0" applyFont="1" applyAlignment="1">
      <alignment horizontal="left" vertical="top" wrapText="1"/>
    </xf>
    <xf numFmtId="0" fontId="5" fillId="0" borderId="0" xfId="0" applyFont="1" applyAlignment="1">
      <alignment horizontal="center"/>
    </xf>
    <xf numFmtId="0" fontId="0" fillId="0" borderId="0" xfId="0" applyAlignment="1">
      <alignment horizontal="center"/>
    </xf>
    <xf numFmtId="0" fontId="0" fillId="0" borderId="0" xfId="0" applyFont="1" applyFill="1" applyAlignment="1">
      <alignment horizontal="center"/>
    </xf>
    <xf numFmtId="17" fontId="0" fillId="0" borderId="0" xfId="0" applyNumberFormat="1" applyFont="1" applyFill="1" applyAlignment="1">
      <alignment horizontal="center"/>
    </xf>
  </cellXfs>
  <cellStyles count="2">
    <cellStyle name="Currency" xfId="1" builtinId="4"/>
    <cellStyle name="Normal" xfId="0" builtinId="0"/>
  </cellStyles>
  <dxfs count="0"/>
  <tableStyles count="0" defaultTableStyle="TableStyleMedium2" defaultPivotStyle="PivotStyleLight16"/>
  <colors>
    <mruColors>
      <color rgb="FF0000FF"/>
      <color rgb="FF008080"/>
      <color rgb="FF33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9"/>
  <sheetViews>
    <sheetView tabSelected="1" zoomScale="90" zoomScaleNormal="90" workbookViewId="0">
      <selection activeCell="J8" sqref="J8"/>
    </sheetView>
  </sheetViews>
  <sheetFormatPr defaultColWidth="8.7109375" defaultRowHeight="15" x14ac:dyDescent="0.25"/>
  <cols>
    <col min="1" max="1" width="45" style="39" bestFit="1" customWidth="1"/>
    <col min="2" max="2" width="9.140625" style="39" bestFit="1" customWidth="1"/>
    <col min="3" max="8" width="13.7109375" style="39" customWidth="1"/>
    <col min="9" max="16384" width="8.7109375" style="39"/>
  </cols>
  <sheetData>
    <row r="1" spans="1:16" s="152" customFormat="1" x14ac:dyDescent="0.25">
      <c r="A1" s="208" t="s">
        <v>0</v>
      </c>
      <c r="B1" s="208"/>
      <c r="C1" s="208"/>
      <c r="D1" s="208"/>
      <c r="E1" s="208"/>
      <c r="F1" s="208"/>
      <c r="G1" s="208"/>
      <c r="H1" s="208"/>
    </row>
    <row r="2" spans="1:16" s="152" customFormat="1" x14ac:dyDescent="0.25">
      <c r="A2" s="208" t="s">
        <v>258</v>
      </c>
      <c r="B2" s="209"/>
      <c r="C2" s="209"/>
      <c r="D2" s="209"/>
      <c r="E2" s="209"/>
      <c r="F2" s="209"/>
      <c r="G2" s="209"/>
      <c r="H2" s="209"/>
      <c r="I2" s="182"/>
      <c r="J2" s="182"/>
      <c r="K2" s="182"/>
      <c r="L2" s="182"/>
      <c r="M2" s="182"/>
      <c r="N2" s="182"/>
      <c r="O2" s="182"/>
      <c r="P2" s="182"/>
    </row>
    <row r="3" spans="1:16" s="152" customFormat="1" x14ac:dyDescent="0.25">
      <c r="A3" s="208" t="s">
        <v>259</v>
      </c>
      <c r="B3" s="208"/>
      <c r="C3" s="208"/>
      <c r="D3" s="208"/>
      <c r="E3" s="208"/>
      <c r="F3" s="208"/>
      <c r="G3" s="208"/>
      <c r="H3" s="208"/>
    </row>
    <row r="4" spans="1:16" s="152" customFormat="1" x14ac:dyDescent="0.25">
      <c r="A4" s="208" t="s">
        <v>106</v>
      </c>
      <c r="B4" s="208"/>
      <c r="C4" s="208"/>
      <c r="D4" s="208"/>
      <c r="E4" s="208"/>
      <c r="F4" s="208"/>
      <c r="G4" s="208"/>
      <c r="H4" s="208"/>
    </row>
    <row r="5" spans="1:16" x14ac:dyDescent="0.25">
      <c r="E5" s="202"/>
      <c r="F5" s="202"/>
      <c r="G5" s="202"/>
      <c r="H5" s="202"/>
    </row>
    <row r="6" spans="1:16" x14ac:dyDescent="0.25">
      <c r="A6" s="193" t="s">
        <v>272</v>
      </c>
      <c r="C6" s="205" t="s">
        <v>255</v>
      </c>
      <c r="D6" s="206"/>
      <c r="E6" s="207"/>
      <c r="F6" s="205" t="s">
        <v>256</v>
      </c>
      <c r="G6" s="206"/>
      <c r="H6" s="207"/>
    </row>
    <row r="7" spans="1:16" x14ac:dyDescent="0.25">
      <c r="A7" s="59"/>
      <c r="B7" s="59"/>
      <c r="C7" s="59" t="s">
        <v>5</v>
      </c>
      <c r="D7" s="59" t="s">
        <v>5</v>
      </c>
      <c r="E7" s="59" t="s">
        <v>2</v>
      </c>
      <c r="F7" s="59" t="s">
        <v>5</v>
      </c>
      <c r="G7" s="59" t="s">
        <v>5</v>
      </c>
      <c r="H7" s="59" t="s">
        <v>2</v>
      </c>
      <c r="M7" s="184"/>
      <c r="N7" s="184"/>
      <c r="O7" s="184"/>
    </row>
    <row r="8" spans="1:16" x14ac:dyDescent="0.25">
      <c r="A8" s="59"/>
      <c r="B8" s="59" t="s">
        <v>135</v>
      </c>
      <c r="C8" s="59" t="s">
        <v>94</v>
      </c>
      <c r="D8" s="59" t="s">
        <v>234</v>
      </c>
      <c r="E8" s="59" t="s">
        <v>232</v>
      </c>
      <c r="F8" s="59" t="s">
        <v>94</v>
      </c>
      <c r="G8" s="59" t="s">
        <v>234</v>
      </c>
      <c r="H8" s="59" t="s">
        <v>232</v>
      </c>
      <c r="M8" s="184"/>
      <c r="N8" s="184"/>
      <c r="O8" s="184"/>
    </row>
    <row r="9" spans="1:16" x14ac:dyDescent="0.25">
      <c r="A9" s="60" t="s">
        <v>7</v>
      </c>
      <c r="B9" s="60" t="s">
        <v>153</v>
      </c>
      <c r="C9" s="46" t="s">
        <v>204</v>
      </c>
      <c r="D9" s="46" t="s">
        <v>204</v>
      </c>
      <c r="E9" s="60" t="s">
        <v>204</v>
      </c>
      <c r="F9" s="46" t="s">
        <v>204</v>
      </c>
      <c r="G9" s="46" t="s">
        <v>204</v>
      </c>
      <c r="H9" s="60" t="s">
        <v>204</v>
      </c>
      <c r="M9" s="184"/>
      <c r="N9" s="185"/>
      <c r="O9" s="184"/>
    </row>
    <row r="10" spans="1:16" x14ac:dyDescent="0.25">
      <c r="A10" s="39" t="s">
        <v>19</v>
      </c>
      <c r="B10" s="202">
        <v>23</v>
      </c>
      <c r="C10" s="186">
        <v>0.24697</v>
      </c>
      <c r="D10" s="186">
        <v>0</v>
      </c>
      <c r="E10" s="187">
        <f>SUM(C10:D10)</f>
        <v>0.24697</v>
      </c>
      <c r="F10" s="186">
        <v>0.24697</v>
      </c>
      <c r="G10" s="188">
        <f>'Sch. 111 Charge Rates'!G11</f>
        <v>0.16566</v>
      </c>
      <c r="H10" s="187">
        <f>SUM(F10:G10)</f>
        <v>0.41263</v>
      </c>
      <c r="M10" s="184"/>
      <c r="N10" s="189"/>
      <c r="O10" s="184"/>
    </row>
    <row r="11" spans="1:16" x14ac:dyDescent="0.25">
      <c r="A11" s="39" t="s">
        <v>273</v>
      </c>
      <c r="B11" s="202">
        <v>16</v>
      </c>
      <c r="C11" s="194">
        <v>4.6900000000000004</v>
      </c>
      <c r="D11" s="194">
        <v>0</v>
      </c>
      <c r="E11" s="82">
        <f t="shared" ref="E11:E22" si="0">SUM(C11:D11)</f>
        <v>4.6900000000000004</v>
      </c>
      <c r="F11" s="194">
        <v>4.6900000000000004</v>
      </c>
      <c r="G11" s="163">
        <f>'Sch. 111 Charge Rates'!H12</f>
        <v>3.15</v>
      </c>
      <c r="H11" s="82">
        <f t="shared" ref="H11:H22" si="1">SUM(F11:G11)</f>
        <v>7.84</v>
      </c>
      <c r="M11" s="184"/>
      <c r="N11" s="184"/>
      <c r="O11" s="184"/>
    </row>
    <row r="12" spans="1:16" x14ac:dyDescent="0.25">
      <c r="A12" s="39" t="s">
        <v>21</v>
      </c>
      <c r="B12" s="202">
        <v>31</v>
      </c>
      <c r="C12" s="186">
        <v>0.24697</v>
      </c>
      <c r="D12" s="186">
        <v>0</v>
      </c>
      <c r="E12" s="187">
        <f t="shared" si="0"/>
        <v>0.24697</v>
      </c>
      <c r="F12" s="186">
        <v>0.24697</v>
      </c>
      <c r="G12" s="188">
        <f>'Sch. 111 Charge Rates'!G13</f>
        <v>0.16566</v>
      </c>
      <c r="H12" s="187">
        <f t="shared" si="1"/>
        <v>0.41263</v>
      </c>
      <c r="M12" s="184"/>
      <c r="N12" s="184"/>
      <c r="O12" s="184"/>
    </row>
    <row r="13" spans="1:16" x14ac:dyDescent="0.25">
      <c r="A13" s="39" t="s">
        <v>22</v>
      </c>
      <c r="B13" s="202">
        <v>41</v>
      </c>
      <c r="C13" s="186">
        <v>0.24697</v>
      </c>
      <c r="D13" s="186">
        <v>0</v>
      </c>
      <c r="E13" s="187">
        <f t="shared" si="0"/>
        <v>0.24697</v>
      </c>
      <c r="F13" s="186">
        <v>0.24697</v>
      </c>
      <c r="G13" s="188">
        <f>'Sch. 111 Charge Rates'!G14</f>
        <v>0.16566</v>
      </c>
      <c r="H13" s="187">
        <f t="shared" si="1"/>
        <v>0.41263</v>
      </c>
    </row>
    <row r="14" spans="1:16" x14ac:dyDescent="0.25">
      <c r="A14" s="39" t="s">
        <v>23</v>
      </c>
      <c r="B14" s="202">
        <v>85</v>
      </c>
      <c r="C14" s="186">
        <v>0.24697</v>
      </c>
      <c r="D14" s="186">
        <v>0</v>
      </c>
      <c r="E14" s="187">
        <f t="shared" si="0"/>
        <v>0.24697</v>
      </c>
      <c r="F14" s="186">
        <v>0.24697</v>
      </c>
      <c r="G14" s="188">
        <f>'Sch. 111 Charge Rates'!G15</f>
        <v>0.16566</v>
      </c>
      <c r="H14" s="187">
        <f t="shared" si="1"/>
        <v>0.41263</v>
      </c>
    </row>
    <row r="15" spans="1:16" x14ac:dyDescent="0.25">
      <c r="A15" s="39" t="s">
        <v>24</v>
      </c>
      <c r="B15" s="202">
        <v>86</v>
      </c>
      <c r="C15" s="186">
        <v>0.24697</v>
      </c>
      <c r="D15" s="186">
        <v>0</v>
      </c>
      <c r="E15" s="187">
        <f t="shared" si="0"/>
        <v>0.24697</v>
      </c>
      <c r="F15" s="186">
        <v>0.24697</v>
      </c>
      <c r="G15" s="188">
        <f>'Sch. 111 Charge Rates'!G16</f>
        <v>0.16566</v>
      </c>
      <c r="H15" s="187">
        <f t="shared" si="1"/>
        <v>0.41263</v>
      </c>
    </row>
    <row r="16" spans="1:16" x14ac:dyDescent="0.25">
      <c r="A16" s="39" t="s">
        <v>25</v>
      </c>
      <c r="B16" s="202">
        <v>87</v>
      </c>
      <c r="C16" s="186">
        <v>0.24697</v>
      </c>
      <c r="D16" s="186">
        <v>0</v>
      </c>
      <c r="E16" s="187">
        <f t="shared" si="0"/>
        <v>0.24697</v>
      </c>
      <c r="F16" s="186">
        <v>0.24697</v>
      </c>
      <c r="G16" s="188">
        <f>'Sch. 111 Charge Rates'!G17</f>
        <v>0.16566</v>
      </c>
      <c r="H16" s="187">
        <f t="shared" si="1"/>
        <v>0.41263</v>
      </c>
    </row>
    <row r="17" spans="1:8" x14ac:dyDescent="0.25">
      <c r="A17" s="39" t="s">
        <v>26</v>
      </c>
      <c r="B17" s="202" t="s">
        <v>27</v>
      </c>
      <c r="C17" s="186">
        <v>0.24697</v>
      </c>
      <c r="D17" s="186">
        <v>0</v>
      </c>
      <c r="E17" s="187">
        <f t="shared" si="0"/>
        <v>0.24697</v>
      </c>
      <c r="F17" s="186">
        <v>0.24697</v>
      </c>
      <c r="G17" s="188">
        <f>'Sch. 111 Charge Rates'!$G$13</f>
        <v>0.16566</v>
      </c>
      <c r="H17" s="187">
        <f t="shared" si="1"/>
        <v>0.41263</v>
      </c>
    </row>
    <row r="18" spans="1:8" x14ac:dyDescent="0.25">
      <c r="A18" s="39" t="s">
        <v>28</v>
      </c>
      <c r="B18" s="202" t="s">
        <v>29</v>
      </c>
      <c r="C18" s="186">
        <v>0.24697</v>
      </c>
      <c r="D18" s="186">
        <v>0</v>
      </c>
      <c r="E18" s="187">
        <f t="shared" si="0"/>
        <v>0.24697</v>
      </c>
      <c r="F18" s="186">
        <v>0.24697</v>
      </c>
      <c r="G18" s="188">
        <f>'Sch. 111 Charge Rates'!G19</f>
        <v>0.16566</v>
      </c>
      <c r="H18" s="187">
        <f t="shared" si="1"/>
        <v>0.41263</v>
      </c>
    </row>
    <row r="19" spans="1:8" x14ac:dyDescent="0.25">
      <c r="A19" s="39" t="s">
        <v>30</v>
      </c>
      <c r="B19" s="202" t="s">
        <v>31</v>
      </c>
      <c r="C19" s="186">
        <v>0.24697</v>
      </c>
      <c r="D19" s="186">
        <v>0</v>
      </c>
      <c r="E19" s="187">
        <f t="shared" si="0"/>
        <v>0.24697</v>
      </c>
      <c r="F19" s="186">
        <v>0.24697</v>
      </c>
      <c r="G19" s="188">
        <f>'Sch. 111 Charge Rates'!G20</f>
        <v>0.16566</v>
      </c>
      <c r="H19" s="187">
        <f t="shared" si="1"/>
        <v>0.41263</v>
      </c>
    </row>
    <row r="20" spans="1:8" x14ac:dyDescent="0.25">
      <c r="A20" s="39" t="s">
        <v>32</v>
      </c>
      <c r="B20" s="202" t="s">
        <v>33</v>
      </c>
      <c r="C20" s="186">
        <v>0.24697</v>
      </c>
      <c r="D20" s="186">
        <v>0</v>
      </c>
      <c r="E20" s="187">
        <f t="shared" si="0"/>
        <v>0.24697</v>
      </c>
      <c r="F20" s="186">
        <v>0.24697</v>
      </c>
      <c r="G20" s="188">
        <f>'Sch. 111 Charge Rates'!G21</f>
        <v>0.16566</v>
      </c>
      <c r="H20" s="187">
        <f t="shared" si="1"/>
        <v>0.41263</v>
      </c>
    </row>
    <row r="21" spans="1:8" x14ac:dyDescent="0.25">
      <c r="A21" s="39" t="s">
        <v>34</v>
      </c>
      <c r="B21" s="202" t="s">
        <v>35</v>
      </c>
      <c r="C21" s="186">
        <v>0.24697</v>
      </c>
      <c r="D21" s="186">
        <v>0</v>
      </c>
      <c r="E21" s="187">
        <f t="shared" si="0"/>
        <v>0.24697</v>
      </c>
      <c r="F21" s="186">
        <v>0.24697</v>
      </c>
      <c r="G21" s="188">
        <f>'Sch. 111 Charge Rates'!G22</f>
        <v>0.16566</v>
      </c>
      <c r="H21" s="187">
        <f t="shared" si="1"/>
        <v>0.41263</v>
      </c>
    </row>
    <row r="22" spans="1:8" x14ac:dyDescent="0.25">
      <c r="A22" s="39" t="s">
        <v>36</v>
      </c>
      <c r="B22" s="202"/>
      <c r="C22" s="186">
        <v>0.24697</v>
      </c>
      <c r="D22" s="186">
        <v>0</v>
      </c>
      <c r="E22" s="187">
        <f t="shared" si="0"/>
        <v>0.24697</v>
      </c>
      <c r="F22" s="186">
        <v>0.24697</v>
      </c>
      <c r="G22" s="188">
        <f>'Sch. 111 Charge Rates'!G23</f>
        <v>0.16566</v>
      </c>
      <c r="H22" s="187">
        <f t="shared" si="1"/>
        <v>0.41263</v>
      </c>
    </row>
    <row r="23" spans="1:8" x14ac:dyDescent="0.25">
      <c r="C23" s="190"/>
      <c r="D23" s="190"/>
      <c r="E23" s="187"/>
      <c r="F23" s="187"/>
      <c r="G23" s="187"/>
      <c r="H23" s="187"/>
    </row>
    <row r="24" spans="1:8" x14ac:dyDescent="0.25">
      <c r="A24" s="193" t="s">
        <v>235</v>
      </c>
      <c r="C24" s="205" t="s">
        <v>260</v>
      </c>
      <c r="D24" s="206"/>
      <c r="E24" s="207"/>
      <c r="F24" s="205" t="s">
        <v>261</v>
      </c>
      <c r="G24" s="206"/>
      <c r="H24" s="207"/>
    </row>
    <row r="25" spans="1:8" x14ac:dyDescent="0.25">
      <c r="A25" s="59"/>
      <c r="B25" s="59"/>
      <c r="C25" s="59" t="s">
        <v>232</v>
      </c>
      <c r="D25" s="59" t="s">
        <v>232</v>
      </c>
      <c r="E25" s="59" t="s">
        <v>2</v>
      </c>
      <c r="F25" s="59" t="s">
        <v>232</v>
      </c>
      <c r="G25" s="59" t="s">
        <v>232</v>
      </c>
      <c r="H25" s="59" t="s">
        <v>2</v>
      </c>
    </row>
    <row r="26" spans="1:8" x14ac:dyDescent="0.25">
      <c r="A26" s="59"/>
      <c r="B26" s="59" t="s">
        <v>135</v>
      </c>
      <c r="C26" s="59" t="s">
        <v>94</v>
      </c>
      <c r="D26" s="59" t="s">
        <v>234</v>
      </c>
      <c r="E26" s="59" t="s">
        <v>232</v>
      </c>
      <c r="F26" s="59" t="s">
        <v>94</v>
      </c>
      <c r="G26" s="59" t="s">
        <v>234</v>
      </c>
      <c r="H26" s="59" t="s">
        <v>232</v>
      </c>
    </row>
    <row r="27" spans="1:8" x14ac:dyDescent="0.25">
      <c r="A27" s="60" t="s">
        <v>7</v>
      </c>
      <c r="B27" s="60" t="s">
        <v>153</v>
      </c>
      <c r="C27" s="60" t="s">
        <v>238</v>
      </c>
      <c r="D27" s="60" t="s">
        <v>238</v>
      </c>
      <c r="E27" s="60" t="s">
        <v>238</v>
      </c>
      <c r="F27" s="60" t="s">
        <v>238</v>
      </c>
      <c r="G27" s="60" t="s">
        <v>238</v>
      </c>
      <c r="H27" s="60" t="s">
        <v>238</v>
      </c>
    </row>
    <row r="28" spans="1:8" x14ac:dyDescent="0.25">
      <c r="A28" s="39" t="s">
        <v>19</v>
      </c>
      <c r="B28" s="202">
        <v>23</v>
      </c>
      <c r="C28" s="82" t="s">
        <v>271</v>
      </c>
      <c r="D28" s="186"/>
      <c r="E28" s="82"/>
      <c r="F28" s="194"/>
      <c r="G28" s="163"/>
      <c r="H28" s="82"/>
    </row>
    <row r="29" spans="1:8" ht="17.25" x14ac:dyDescent="0.25">
      <c r="A29" s="39" t="s">
        <v>273</v>
      </c>
      <c r="B29" s="202">
        <v>16</v>
      </c>
      <c r="C29" s="194">
        <v>-3.88</v>
      </c>
      <c r="D29" s="186">
        <v>0</v>
      </c>
      <c r="E29" s="82">
        <f t="shared" ref="E29:E40" si="2">SUM(C29:D29)</f>
        <v>-3.88</v>
      </c>
      <c r="F29" s="194">
        <v>-3.88</v>
      </c>
      <c r="G29" s="163">
        <f>'Sch. 111 Non-Vol Credit Rates'!H12</f>
        <v>-2.4700000000000002</v>
      </c>
      <c r="H29" s="82">
        <f t="shared" ref="H29:H40" si="3">SUM(F29:G29)</f>
        <v>-6.35</v>
      </c>
    </row>
    <row r="30" spans="1:8" x14ac:dyDescent="0.25">
      <c r="A30" s="39" t="s">
        <v>21</v>
      </c>
      <c r="B30" s="202">
        <v>31</v>
      </c>
      <c r="C30" s="82" t="s">
        <v>271</v>
      </c>
      <c r="D30" s="186"/>
      <c r="E30" s="82"/>
      <c r="F30" s="194"/>
      <c r="G30" s="163"/>
      <c r="H30" s="82"/>
    </row>
    <row r="31" spans="1:8" x14ac:dyDescent="0.25">
      <c r="A31" s="39" t="s">
        <v>22</v>
      </c>
      <c r="B31" s="202">
        <v>41</v>
      </c>
      <c r="C31" s="194">
        <v>-920.44</v>
      </c>
      <c r="D31" s="186">
        <v>0</v>
      </c>
      <c r="E31" s="82">
        <f t="shared" si="2"/>
        <v>-920.44</v>
      </c>
      <c r="F31" s="194">
        <v>-920.44</v>
      </c>
      <c r="G31" s="163">
        <f>'Sch. 111 Non-Vol Credit Rates'!H14</f>
        <v>-543.32000000000005</v>
      </c>
      <c r="H31" s="82">
        <f t="shared" si="3"/>
        <v>-1463.7600000000002</v>
      </c>
    </row>
    <row r="32" spans="1:8" x14ac:dyDescent="0.25">
      <c r="A32" s="39" t="s">
        <v>23</v>
      </c>
      <c r="B32" s="202">
        <v>85</v>
      </c>
      <c r="C32" s="194">
        <v>-5623.33</v>
      </c>
      <c r="D32" s="186">
        <v>0</v>
      </c>
      <c r="E32" s="82">
        <f t="shared" si="2"/>
        <v>-5623.33</v>
      </c>
      <c r="F32" s="194">
        <v>-5623.33</v>
      </c>
      <c r="G32" s="163">
        <f>'Sch. 111 Non-Vol Credit Rates'!H15</f>
        <v>-4583.75</v>
      </c>
      <c r="H32" s="82">
        <f t="shared" si="3"/>
        <v>-10207.08</v>
      </c>
    </row>
    <row r="33" spans="1:8" x14ac:dyDescent="0.25">
      <c r="A33" s="39" t="s">
        <v>24</v>
      </c>
      <c r="B33" s="202">
        <v>86</v>
      </c>
      <c r="C33" s="194">
        <v>-863.99</v>
      </c>
      <c r="D33" s="186">
        <v>0</v>
      </c>
      <c r="E33" s="82">
        <f t="shared" si="2"/>
        <v>-863.99</v>
      </c>
      <c r="F33" s="194">
        <v>-863.99</v>
      </c>
      <c r="G33" s="163">
        <f>'Sch. 111 Non-Vol Credit Rates'!H16</f>
        <v>-529.04</v>
      </c>
      <c r="H33" s="82">
        <f t="shared" si="3"/>
        <v>-1393.03</v>
      </c>
    </row>
    <row r="34" spans="1:8" x14ac:dyDescent="0.25">
      <c r="A34" s="39" t="s">
        <v>25</v>
      </c>
      <c r="B34" s="202">
        <v>87</v>
      </c>
      <c r="C34" s="194">
        <v>-10800.13</v>
      </c>
      <c r="D34" s="186">
        <v>0</v>
      </c>
      <c r="E34" s="82">
        <f t="shared" si="2"/>
        <v>-10800.13</v>
      </c>
      <c r="F34" s="194">
        <v>-10800.13</v>
      </c>
      <c r="G34" s="163">
        <f>'Sch. 111 Non-Vol Credit Rates'!H17</f>
        <v>-16883.84</v>
      </c>
      <c r="H34" s="82">
        <f t="shared" si="3"/>
        <v>-27683.97</v>
      </c>
    </row>
    <row r="35" spans="1:8" x14ac:dyDescent="0.25">
      <c r="A35" s="39" t="s">
        <v>26</v>
      </c>
      <c r="B35" s="202" t="s">
        <v>27</v>
      </c>
      <c r="C35" s="82" t="s">
        <v>271</v>
      </c>
      <c r="D35" s="186"/>
      <c r="E35" s="82"/>
      <c r="F35" s="194"/>
      <c r="G35" s="163"/>
      <c r="H35" s="82"/>
    </row>
    <row r="36" spans="1:8" x14ac:dyDescent="0.25">
      <c r="A36" s="39" t="s">
        <v>28</v>
      </c>
      <c r="B36" s="202" t="s">
        <v>29</v>
      </c>
      <c r="C36" s="194">
        <v>-3840.3</v>
      </c>
      <c r="D36" s="186">
        <v>0</v>
      </c>
      <c r="E36" s="82">
        <f t="shared" si="2"/>
        <v>-3840.3</v>
      </c>
      <c r="F36" s="194">
        <v>-3840.3</v>
      </c>
      <c r="G36" s="163">
        <f>'Sch. 111 Non-Vol Credit Rates'!H19</f>
        <v>-2460.5300000000002</v>
      </c>
      <c r="H36" s="82">
        <f t="shared" si="3"/>
        <v>-6300.83</v>
      </c>
    </row>
    <row r="37" spans="1:8" x14ac:dyDescent="0.25">
      <c r="A37" s="39" t="s">
        <v>30</v>
      </c>
      <c r="B37" s="202" t="s">
        <v>31</v>
      </c>
      <c r="C37" s="194">
        <v>-13038.68</v>
      </c>
      <c r="D37" s="186">
        <v>0</v>
      </c>
      <c r="E37" s="82">
        <f t="shared" si="2"/>
        <v>-13038.68</v>
      </c>
      <c r="F37" s="194">
        <v>-13038.68</v>
      </c>
      <c r="G37" s="163">
        <f>'Sch. 111 Non-Vol Credit Rates'!H20</f>
        <v>-7722.73</v>
      </c>
      <c r="H37" s="82">
        <f t="shared" si="3"/>
        <v>-20761.41</v>
      </c>
    </row>
    <row r="38" spans="1:8" x14ac:dyDescent="0.25">
      <c r="A38" s="39" t="s">
        <v>32</v>
      </c>
      <c r="B38" s="202" t="s">
        <v>33</v>
      </c>
      <c r="C38" s="194">
        <v>-3753.55</v>
      </c>
      <c r="D38" s="186">
        <v>0</v>
      </c>
      <c r="E38" s="82">
        <f t="shared" si="2"/>
        <v>-3753.55</v>
      </c>
      <c r="F38" s="194">
        <v>-3753.55</v>
      </c>
      <c r="G38" s="163">
        <f>'Sch. 111 Non-Vol Credit Rates'!H21</f>
        <v>-1849.68</v>
      </c>
      <c r="H38" s="82">
        <f t="shared" si="3"/>
        <v>-5603.2300000000005</v>
      </c>
    </row>
    <row r="39" spans="1:8" x14ac:dyDescent="0.25">
      <c r="A39" s="39" t="s">
        <v>34</v>
      </c>
      <c r="B39" s="202" t="s">
        <v>35</v>
      </c>
      <c r="C39" s="194">
        <v>-78306.03</v>
      </c>
      <c r="D39" s="186">
        <v>0</v>
      </c>
      <c r="E39" s="82">
        <f t="shared" si="2"/>
        <v>-78306.03</v>
      </c>
      <c r="F39" s="194">
        <v>-78306.03</v>
      </c>
      <c r="G39" s="163">
        <f>'Sch. 111 Non-Vol Credit Rates'!H22</f>
        <v>-136871.71</v>
      </c>
      <c r="H39" s="82">
        <f t="shared" si="3"/>
        <v>-215177.74</v>
      </c>
    </row>
    <row r="40" spans="1:8" x14ac:dyDescent="0.25">
      <c r="A40" s="39" t="s">
        <v>36</v>
      </c>
      <c r="B40" s="202"/>
      <c r="C40" s="194">
        <v>-34268.230000000003</v>
      </c>
      <c r="D40" s="186">
        <v>0</v>
      </c>
      <c r="E40" s="82">
        <f t="shared" si="2"/>
        <v>-34268.230000000003</v>
      </c>
      <c r="F40" s="194">
        <v>-34268.230000000003</v>
      </c>
      <c r="G40" s="163">
        <f>'Sch. 111 Non-Vol Credit Rates'!H23</f>
        <v>-19537.599999999999</v>
      </c>
      <c r="H40" s="82">
        <f t="shared" si="3"/>
        <v>-53805.83</v>
      </c>
    </row>
    <row r="42" spans="1:8" x14ac:dyDescent="0.25">
      <c r="A42" s="193" t="s">
        <v>253</v>
      </c>
      <c r="C42" s="205" t="s">
        <v>262</v>
      </c>
      <c r="D42" s="206"/>
      <c r="E42" s="207"/>
      <c r="F42" s="205" t="s">
        <v>263</v>
      </c>
      <c r="G42" s="206"/>
      <c r="H42" s="207"/>
    </row>
    <row r="43" spans="1:8" x14ac:dyDescent="0.25">
      <c r="A43" s="59"/>
      <c r="B43" s="59"/>
      <c r="C43" s="59" t="s">
        <v>232</v>
      </c>
      <c r="D43" s="59" t="s">
        <v>232</v>
      </c>
      <c r="E43" s="59" t="s">
        <v>2</v>
      </c>
      <c r="F43" s="59" t="s">
        <v>232</v>
      </c>
      <c r="G43" s="59" t="s">
        <v>232</v>
      </c>
      <c r="H43" s="59" t="s">
        <v>2</v>
      </c>
    </row>
    <row r="44" spans="1:8" x14ac:dyDescent="0.25">
      <c r="A44" s="59"/>
      <c r="B44" s="59" t="s">
        <v>135</v>
      </c>
      <c r="C44" s="59" t="s">
        <v>94</v>
      </c>
      <c r="D44" s="59" t="s">
        <v>234</v>
      </c>
      <c r="E44" s="59" t="s">
        <v>232</v>
      </c>
      <c r="F44" s="59" t="s">
        <v>94</v>
      </c>
      <c r="G44" s="59" t="s">
        <v>234</v>
      </c>
      <c r="H44" s="59" t="s">
        <v>232</v>
      </c>
    </row>
    <row r="45" spans="1:8" x14ac:dyDescent="0.25">
      <c r="A45" s="60" t="s">
        <v>7</v>
      </c>
      <c r="B45" s="60" t="s">
        <v>153</v>
      </c>
      <c r="C45" s="60" t="s">
        <v>240</v>
      </c>
      <c r="D45" s="60" t="s">
        <v>240</v>
      </c>
      <c r="E45" s="60" t="s">
        <v>240</v>
      </c>
      <c r="F45" s="60" t="s">
        <v>240</v>
      </c>
      <c r="G45" s="60" t="s">
        <v>240</v>
      </c>
      <c r="H45" s="60" t="s">
        <v>240</v>
      </c>
    </row>
    <row r="46" spans="1:8" x14ac:dyDescent="0.25">
      <c r="A46" s="39" t="s">
        <v>60</v>
      </c>
      <c r="B46" s="202">
        <v>23</v>
      </c>
      <c r="C46" s="186">
        <v>-0.24697</v>
      </c>
      <c r="D46" s="186">
        <v>0</v>
      </c>
      <c r="E46" s="187">
        <f t="shared" ref="E46" si="4">SUM(C46:D46)</f>
        <v>-0.24697</v>
      </c>
      <c r="F46" s="186">
        <v>-0.24697</v>
      </c>
      <c r="G46" s="188">
        <f>'Sch. 111 Low Inc. Credit Rates'!$F$11</f>
        <v>-0.16566</v>
      </c>
      <c r="H46" s="187">
        <f t="shared" ref="H46" si="5">SUM(F46:G46)</f>
        <v>-0.41263</v>
      </c>
    </row>
    <row r="48" spans="1:8" x14ac:dyDescent="0.25">
      <c r="A48" s="193" t="s">
        <v>264</v>
      </c>
      <c r="C48" s="205" t="s">
        <v>265</v>
      </c>
      <c r="D48" s="206"/>
      <c r="E48" s="207"/>
      <c r="F48" s="205" t="s">
        <v>269</v>
      </c>
      <c r="G48" s="206"/>
      <c r="H48" s="207"/>
    </row>
    <row r="49" spans="1:8" x14ac:dyDescent="0.25">
      <c r="A49" s="59"/>
      <c r="B49" s="59"/>
      <c r="C49" s="59" t="s">
        <v>232</v>
      </c>
      <c r="D49" s="59" t="s">
        <v>232</v>
      </c>
      <c r="E49" s="59" t="s">
        <v>2</v>
      </c>
      <c r="F49" s="59" t="s">
        <v>232</v>
      </c>
      <c r="G49" s="59" t="s">
        <v>232</v>
      </c>
      <c r="H49" s="59" t="s">
        <v>2</v>
      </c>
    </row>
    <row r="50" spans="1:8" x14ac:dyDescent="0.25">
      <c r="A50" s="59"/>
      <c r="B50" s="59"/>
      <c r="C50" s="59" t="s">
        <v>94</v>
      </c>
      <c r="D50" s="59" t="s">
        <v>234</v>
      </c>
      <c r="E50" s="59" t="s">
        <v>232</v>
      </c>
      <c r="F50" s="59" t="s">
        <v>94</v>
      </c>
      <c r="G50" s="59" t="s">
        <v>234</v>
      </c>
      <c r="H50" s="59" t="s">
        <v>232</v>
      </c>
    </row>
    <row r="51" spans="1:8" x14ac:dyDescent="0.25">
      <c r="A51" s="60" t="s">
        <v>52</v>
      </c>
      <c r="B51" s="60" t="s">
        <v>266</v>
      </c>
      <c r="C51" s="60" t="s">
        <v>240</v>
      </c>
      <c r="D51" s="60" t="s">
        <v>240</v>
      </c>
      <c r="E51" s="60" t="s">
        <v>240</v>
      </c>
      <c r="F51" s="60" t="s">
        <v>240</v>
      </c>
      <c r="G51" s="60" t="s">
        <v>240</v>
      </c>
      <c r="H51" s="60" t="s">
        <v>240</v>
      </c>
    </row>
    <row r="52" spans="1:8" x14ac:dyDescent="0.25">
      <c r="A52" s="39" t="s">
        <v>267</v>
      </c>
      <c r="B52" s="203">
        <v>45231</v>
      </c>
      <c r="C52" s="194">
        <v>-18.059999999999999</v>
      </c>
      <c r="D52" s="194">
        <v>0</v>
      </c>
      <c r="E52" s="82">
        <f>SUM(C52:D52)</f>
        <v>-18.059999999999999</v>
      </c>
      <c r="F52" s="194">
        <v>-18.059999999999999</v>
      </c>
      <c r="G52" s="163">
        <f>'Sch.111 Non-Vol Credit Seasonal'!$D$21</f>
        <v>-11.604041087742509</v>
      </c>
      <c r="H52" s="82">
        <f>SUM(F52:G52)</f>
        <v>-29.664041087742508</v>
      </c>
    </row>
    <row r="53" spans="1:8" x14ac:dyDescent="0.25">
      <c r="A53" s="39" t="s">
        <v>267</v>
      </c>
      <c r="B53" s="204">
        <f>EDATE(B52,1)</f>
        <v>45261</v>
      </c>
      <c r="C53" s="194">
        <v>-23.58</v>
      </c>
      <c r="D53" s="194">
        <v>0</v>
      </c>
      <c r="E53" s="82">
        <f t="shared" ref="E53:E63" si="6">SUM(C53:D53)</f>
        <v>-23.58</v>
      </c>
      <c r="F53" s="194">
        <v>-23.58</v>
      </c>
      <c r="G53" s="163">
        <f>'Sch.111 Non-Vol Credit Seasonal'!$E$21</f>
        <v>-15.510158009666538</v>
      </c>
      <c r="H53" s="82">
        <f t="shared" ref="H53:H63" si="7">SUM(F53:G53)</f>
        <v>-39.090158009666538</v>
      </c>
    </row>
    <row r="54" spans="1:8" x14ac:dyDescent="0.25">
      <c r="A54" s="39" t="s">
        <v>267</v>
      </c>
      <c r="B54" s="204">
        <f t="shared" ref="B54:B63" si="8">EDATE(B53,1)</f>
        <v>45292</v>
      </c>
      <c r="C54" s="194">
        <v>0</v>
      </c>
      <c r="D54" s="194">
        <v>0</v>
      </c>
      <c r="E54" s="82">
        <f t="shared" si="6"/>
        <v>0</v>
      </c>
      <c r="F54" s="194">
        <v>0</v>
      </c>
      <c r="G54" s="163">
        <f>'Sch.111 Non-Vol Credit Seasonal'!$F$21</f>
        <v>-15.061856148803606</v>
      </c>
      <c r="H54" s="82">
        <f t="shared" si="7"/>
        <v>-15.061856148803606</v>
      </c>
    </row>
    <row r="55" spans="1:8" x14ac:dyDescent="0.25">
      <c r="A55" s="39" t="s">
        <v>267</v>
      </c>
      <c r="B55" s="204">
        <f t="shared" si="8"/>
        <v>45323</v>
      </c>
      <c r="C55" s="194">
        <v>0</v>
      </c>
      <c r="D55" s="194">
        <v>0</v>
      </c>
      <c r="E55" s="82">
        <f t="shared" si="6"/>
        <v>0</v>
      </c>
      <c r="F55" s="194">
        <v>0</v>
      </c>
      <c r="G55" s="163">
        <f>'Sch.111 Non-Vol Credit Seasonal'!$G$21</f>
        <v>-13.271810488387681</v>
      </c>
      <c r="H55" s="82">
        <f t="shared" si="7"/>
        <v>-13.271810488387681</v>
      </c>
    </row>
    <row r="56" spans="1:8" x14ac:dyDescent="0.25">
      <c r="A56" s="39" t="s">
        <v>267</v>
      </c>
      <c r="B56" s="204">
        <f t="shared" si="8"/>
        <v>45352</v>
      </c>
      <c r="C56" s="194">
        <v>0</v>
      </c>
      <c r="D56" s="194">
        <v>0</v>
      </c>
      <c r="E56" s="82">
        <f t="shared" si="6"/>
        <v>0</v>
      </c>
      <c r="F56" s="194">
        <v>0</v>
      </c>
      <c r="G56" s="163">
        <f>'Sch.111 Non-Vol Credit Seasonal'!$H$21</f>
        <v>-12.151108845299946</v>
      </c>
      <c r="H56" s="82">
        <f t="shared" si="7"/>
        <v>-12.151108845299946</v>
      </c>
    </row>
    <row r="57" spans="1:8" x14ac:dyDescent="0.25">
      <c r="A57" s="39" t="s">
        <v>267</v>
      </c>
      <c r="B57" s="204">
        <f t="shared" si="8"/>
        <v>45383</v>
      </c>
      <c r="C57" s="194">
        <v>0</v>
      </c>
      <c r="D57" s="194">
        <v>0</v>
      </c>
      <c r="E57" s="82">
        <f t="shared" si="6"/>
        <v>0</v>
      </c>
      <c r="F57" s="194">
        <v>0</v>
      </c>
      <c r="G57" s="163">
        <f>'Sch.111 Non-Vol Credit Seasonal'!$I$21</f>
        <v>-8.3096415722620893</v>
      </c>
      <c r="H57" s="82">
        <f t="shared" si="7"/>
        <v>-8.3096415722620893</v>
      </c>
    </row>
    <row r="58" spans="1:8" x14ac:dyDescent="0.25">
      <c r="A58" s="39" t="s">
        <v>267</v>
      </c>
      <c r="B58" s="204">
        <f t="shared" si="8"/>
        <v>45413</v>
      </c>
      <c r="C58" s="194">
        <v>0</v>
      </c>
      <c r="D58" s="194">
        <v>0</v>
      </c>
      <c r="E58" s="82">
        <f t="shared" si="6"/>
        <v>0</v>
      </c>
      <c r="F58" s="194">
        <v>0</v>
      </c>
      <c r="G58" s="163">
        <f>'Sch.111 Non-Vol Credit Seasonal'!$J$21</f>
        <v>-4.8320301458421184</v>
      </c>
      <c r="H58" s="82">
        <f t="shared" si="7"/>
        <v>-4.8320301458421184</v>
      </c>
    </row>
    <row r="59" spans="1:8" x14ac:dyDescent="0.25">
      <c r="A59" s="39" t="s">
        <v>267</v>
      </c>
      <c r="B59" s="204">
        <f t="shared" si="8"/>
        <v>45444</v>
      </c>
      <c r="C59" s="194">
        <v>0</v>
      </c>
      <c r="D59" s="194">
        <v>0</v>
      </c>
      <c r="E59" s="82">
        <f t="shared" si="6"/>
        <v>0</v>
      </c>
      <c r="F59" s="194">
        <v>0</v>
      </c>
      <c r="G59" s="163">
        <f>'Sch.111 Non-Vol Credit Seasonal'!$K$21</f>
        <v>-3.3029843298763151</v>
      </c>
      <c r="H59" s="82">
        <f t="shared" si="7"/>
        <v>-3.3029843298763151</v>
      </c>
    </row>
    <row r="60" spans="1:8" x14ac:dyDescent="0.25">
      <c r="A60" s="39" t="s">
        <v>267</v>
      </c>
      <c r="B60" s="204">
        <f t="shared" si="8"/>
        <v>45474</v>
      </c>
      <c r="C60" s="194">
        <v>0</v>
      </c>
      <c r="D60" s="194">
        <v>0</v>
      </c>
      <c r="E60" s="82">
        <f t="shared" si="6"/>
        <v>0</v>
      </c>
      <c r="F60" s="194">
        <v>0</v>
      </c>
      <c r="G60" s="163">
        <f>'Sch.111 Non-Vol Credit Seasonal'!$L$21</f>
        <v>-2.5029107433521167</v>
      </c>
      <c r="H60" s="82">
        <f t="shared" si="7"/>
        <v>-2.5029107433521167</v>
      </c>
    </row>
    <row r="61" spans="1:8" x14ac:dyDescent="0.25">
      <c r="A61" s="39" t="s">
        <v>267</v>
      </c>
      <c r="B61" s="204">
        <f t="shared" si="8"/>
        <v>45505</v>
      </c>
      <c r="C61" s="194">
        <v>0</v>
      </c>
      <c r="D61" s="194">
        <v>0</v>
      </c>
      <c r="E61" s="82">
        <f t="shared" si="6"/>
        <v>0</v>
      </c>
      <c r="F61" s="194">
        <v>0</v>
      </c>
      <c r="G61" s="163">
        <f>'Sch.111 Non-Vol Credit Seasonal'!$M$21</f>
        <v>-2.399385534866711</v>
      </c>
      <c r="H61" s="82">
        <f t="shared" si="7"/>
        <v>-2.399385534866711</v>
      </c>
    </row>
    <row r="62" spans="1:8" x14ac:dyDescent="0.25">
      <c r="A62" s="39" t="s">
        <v>267</v>
      </c>
      <c r="B62" s="204">
        <f t="shared" si="8"/>
        <v>45536</v>
      </c>
      <c r="C62" s="194">
        <v>0</v>
      </c>
      <c r="D62" s="194">
        <v>0</v>
      </c>
      <c r="E62" s="82">
        <f t="shared" si="6"/>
        <v>0</v>
      </c>
      <c r="F62" s="194">
        <v>0</v>
      </c>
      <c r="G62" s="163">
        <f>'Sch.111 Non-Vol Credit Seasonal'!$N$21</f>
        <v>-3.1604947118653461</v>
      </c>
      <c r="H62" s="82">
        <f t="shared" si="7"/>
        <v>-3.1604947118653461</v>
      </c>
    </row>
    <row r="63" spans="1:8" x14ac:dyDescent="0.25">
      <c r="A63" s="39" t="s">
        <v>267</v>
      </c>
      <c r="B63" s="204">
        <f t="shared" si="8"/>
        <v>45566</v>
      </c>
      <c r="C63" s="194">
        <v>0</v>
      </c>
      <c r="D63" s="194">
        <v>0</v>
      </c>
      <c r="E63" s="82">
        <f t="shared" si="6"/>
        <v>0</v>
      </c>
      <c r="F63" s="194">
        <v>0</v>
      </c>
      <c r="G63" s="163">
        <f>'Sch.111 Non-Vol Credit Seasonal'!$O$21</f>
        <v>-6.7735783820350184</v>
      </c>
      <c r="H63" s="82">
        <f t="shared" si="7"/>
        <v>-6.7735783820350184</v>
      </c>
    </row>
    <row r="64" spans="1:8" x14ac:dyDescent="0.25">
      <c r="B64" s="204"/>
    </row>
    <row r="65" spans="1:8" x14ac:dyDescent="0.25">
      <c r="A65" s="39" t="s">
        <v>268</v>
      </c>
      <c r="B65" s="203">
        <v>45231</v>
      </c>
      <c r="C65" s="194">
        <v>-97.29</v>
      </c>
      <c r="D65" s="194">
        <v>0</v>
      </c>
      <c r="E65" s="82">
        <f>SUM(C65:D65)</f>
        <v>-97.29</v>
      </c>
      <c r="F65" s="194">
        <v>-97.29</v>
      </c>
      <c r="G65" s="163">
        <f>'Sch.111 Non-Vol Credit Seasonal'!$D$25</f>
        <v>-63.014518024685039</v>
      </c>
      <c r="H65" s="82">
        <f>SUM(F65:G65)</f>
        <v>-160.30451802468505</v>
      </c>
    </row>
    <row r="66" spans="1:8" x14ac:dyDescent="0.25">
      <c r="A66" s="39" t="s">
        <v>268</v>
      </c>
      <c r="B66" s="204">
        <f>EDATE(B65,1)</f>
        <v>45261</v>
      </c>
      <c r="C66" s="194">
        <v>-121.18</v>
      </c>
      <c r="D66" s="194">
        <v>0</v>
      </c>
      <c r="E66" s="82">
        <f t="shared" ref="E66:E76" si="9">SUM(C66:D66)</f>
        <v>-121.18</v>
      </c>
      <c r="F66" s="194">
        <v>-121.18</v>
      </c>
      <c r="G66" s="163">
        <f>'Sch.111 Non-Vol Credit Seasonal'!$E$25</f>
        <v>-76.909858276250034</v>
      </c>
      <c r="H66" s="82">
        <f t="shared" ref="H66:H76" si="10">SUM(F66:G66)</f>
        <v>-198.08985827625003</v>
      </c>
    </row>
    <row r="67" spans="1:8" x14ac:dyDescent="0.25">
      <c r="A67" s="39" t="s">
        <v>268</v>
      </c>
      <c r="B67" s="204">
        <f t="shared" ref="B67:B76" si="11">EDATE(B66,1)</f>
        <v>45292</v>
      </c>
      <c r="C67" s="194">
        <v>0</v>
      </c>
      <c r="D67" s="194">
        <v>0</v>
      </c>
      <c r="E67" s="82">
        <f t="shared" si="9"/>
        <v>0</v>
      </c>
      <c r="F67" s="194">
        <v>0</v>
      </c>
      <c r="G67" s="163">
        <f>'Sch.111 Non-Vol Credit Seasonal'!$F$25</f>
        <v>-66.978661047805502</v>
      </c>
      <c r="H67" s="82">
        <f t="shared" si="10"/>
        <v>-66.978661047805502</v>
      </c>
    </row>
    <row r="68" spans="1:8" x14ac:dyDescent="0.25">
      <c r="A68" s="39" t="s">
        <v>268</v>
      </c>
      <c r="B68" s="204">
        <f t="shared" si="11"/>
        <v>45323</v>
      </c>
      <c r="C68" s="194">
        <v>0</v>
      </c>
      <c r="D68" s="194">
        <v>0</v>
      </c>
      <c r="E68" s="82">
        <f t="shared" si="9"/>
        <v>0</v>
      </c>
      <c r="F68" s="194">
        <v>0</v>
      </c>
      <c r="G68" s="163">
        <f>'Sch.111 Non-Vol Credit Seasonal'!$G$25</f>
        <v>-60.509499835556227</v>
      </c>
      <c r="H68" s="82">
        <f t="shared" si="10"/>
        <v>-60.509499835556227</v>
      </c>
    </row>
    <row r="69" spans="1:8" x14ac:dyDescent="0.25">
      <c r="A69" s="39" t="s">
        <v>268</v>
      </c>
      <c r="B69" s="204">
        <f t="shared" si="11"/>
        <v>45352</v>
      </c>
      <c r="C69" s="194">
        <v>0</v>
      </c>
      <c r="D69" s="194">
        <v>0</v>
      </c>
      <c r="E69" s="82">
        <f t="shared" si="9"/>
        <v>0</v>
      </c>
      <c r="F69" s="194">
        <v>0</v>
      </c>
      <c r="G69" s="163">
        <f>'Sch.111 Non-Vol Credit Seasonal'!$H$25</f>
        <v>-53.758205169469115</v>
      </c>
      <c r="H69" s="82">
        <f t="shared" si="10"/>
        <v>-53.758205169469115</v>
      </c>
    </row>
    <row r="70" spans="1:8" x14ac:dyDescent="0.25">
      <c r="A70" s="39" t="s">
        <v>268</v>
      </c>
      <c r="B70" s="204">
        <f t="shared" si="11"/>
        <v>45383</v>
      </c>
      <c r="C70" s="194">
        <v>0</v>
      </c>
      <c r="D70" s="194">
        <v>0</v>
      </c>
      <c r="E70" s="82">
        <f t="shared" si="9"/>
        <v>0</v>
      </c>
      <c r="F70" s="194">
        <v>0</v>
      </c>
      <c r="G70" s="163">
        <f>'Sch.111 Non-Vol Credit Seasonal'!$I$25</f>
        <v>-38.466968340422383</v>
      </c>
      <c r="H70" s="82">
        <f t="shared" si="10"/>
        <v>-38.466968340422383</v>
      </c>
    </row>
    <row r="71" spans="1:8" x14ac:dyDescent="0.25">
      <c r="A71" s="39" t="s">
        <v>268</v>
      </c>
      <c r="B71" s="204">
        <f t="shared" si="11"/>
        <v>45413</v>
      </c>
      <c r="C71" s="194">
        <v>0</v>
      </c>
      <c r="D71" s="194">
        <v>0</v>
      </c>
      <c r="E71" s="82">
        <f t="shared" si="9"/>
        <v>0</v>
      </c>
      <c r="F71" s="194">
        <v>0</v>
      </c>
      <c r="G71" s="163">
        <f>'Sch.111 Non-Vol Credit Seasonal'!$J$25</f>
        <v>-28.008815855866569</v>
      </c>
      <c r="H71" s="82">
        <f t="shared" si="10"/>
        <v>-28.008815855866569</v>
      </c>
    </row>
    <row r="72" spans="1:8" x14ac:dyDescent="0.25">
      <c r="A72" s="39" t="s">
        <v>268</v>
      </c>
      <c r="B72" s="204">
        <f t="shared" si="11"/>
        <v>45444</v>
      </c>
      <c r="C72" s="194">
        <v>0</v>
      </c>
      <c r="D72" s="194">
        <v>0</v>
      </c>
      <c r="E72" s="82">
        <f t="shared" si="9"/>
        <v>0</v>
      </c>
      <c r="F72" s="194">
        <v>0</v>
      </c>
      <c r="G72" s="163">
        <f>'Sch.111 Non-Vol Credit Seasonal'!$K$25</f>
        <v>-22.46090499719179</v>
      </c>
      <c r="H72" s="82">
        <f t="shared" si="10"/>
        <v>-22.46090499719179</v>
      </c>
    </row>
    <row r="73" spans="1:8" x14ac:dyDescent="0.25">
      <c r="A73" s="39" t="s">
        <v>268</v>
      </c>
      <c r="B73" s="204">
        <f t="shared" si="11"/>
        <v>45474</v>
      </c>
      <c r="C73" s="194">
        <v>0</v>
      </c>
      <c r="D73" s="194">
        <v>0</v>
      </c>
      <c r="E73" s="82">
        <f t="shared" si="9"/>
        <v>0</v>
      </c>
      <c r="F73" s="194">
        <v>0</v>
      </c>
      <c r="G73" s="163">
        <f>'Sch.111 Non-Vol Credit Seasonal'!$L$25</f>
        <v>-19.171868547342338</v>
      </c>
      <c r="H73" s="82">
        <f t="shared" si="10"/>
        <v>-19.171868547342338</v>
      </c>
    </row>
    <row r="74" spans="1:8" x14ac:dyDescent="0.25">
      <c r="A74" s="39" t="s">
        <v>268</v>
      </c>
      <c r="B74" s="204">
        <f t="shared" si="11"/>
        <v>45505</v>
      </c>
      <c r="C74" s="194">
        <v>0</v>
      </c>
      <c r="D74" s="194">
        <v>0</v>
      </c>
      <c r="E74" s="82">
        <f t="shared" si="9"/>
        <v>0</v>
      </c>
      <c r="F74" s="194">
        <v>0</v>
      </c>
      <c r="G74" s="163">
        <f>'Sch.111 Non-Vol Credit Seasonal'!$M$25</f>
        <v>-21.066043108796386</v>
      </c>
      <c r="H74" s="82">
        <f t="shared" si="10"/>
        <v>-21.066043108796386</v>
      </c>
    </row>
    <row r="75" spans="1:8" x14ac:dyDescent="0.25">
      <c r="A75" s="39" t="s">
        <v>268</v>
      </c>
      <c r="B75" s="204">
        <f t="shared" si="11"/>
        <v>45536</v>
      </c>
      <c r="C75" s="194">
        <v>0</v>
      </c>
      <c r="D75" s="194">
        <v>0</v>
      </c>
      <c r="E75" s="82">
        <f t="shared" si="9"/>
        <v>0</v>
      </c>
      <c r="F75" s="194">
        <v>0</v>
      </c>
      <c r="G75" s="163">
        <f>'Sch.111 Non-Vol Credit Seasonal'!$N$25</f>
        <v>-25.933207104234953</v>
      </c>
      <c r="H75" s="82">
        <f t="shared" si="10"/>
        <v>-25.933207104234953</v>
      </c>
    </row>
    <row r="76" spans="1:8" x14ac:dyDescent="0.25">
      <c r="A76" s="39" t="s">
        <v>268</v>
      </c>
      <c r="B76" s="204">
        <f t="shared" si="11"/>
        <v>45566</v>
      </c>
      <c r="C76" s="194">
        <v>0</v>
      </c>
      <c r="D76" s="194">
        <v>0</v>
      </c>
      <c r="E76" s="82">
        <f t="shared" si="9"/>
        <v>0</v>
      </c>
      <c r="F76" s="194">
        <v>0</v>
      </c>
      <c r="G76" s="163">
        <f>'Sch.111 Non-Vol Credit Seasonal'!$O$25</f>
        <v>-43.921449692379682</v>
      </c>
      <c r="H76" s="82">
        <f t="shared" si="10"/>
        <v>-43.921449692379682</v>
      </c>
    </row>
    <row r="78" spans="1:8" x14ac:dyDescent="0.25">
      <c r="A78" s="39" t="s">
        <v>270</v>
      </c>
      <c r="B78" s="203">
        <v>45231</v>
      </c>
      <c r="C78" s="194">
        <v>-400.03</v>
      </c>
      <c r="D78" s="194">
        <v>0</v>
      </c>
      <c r="E78" s="82">
        <f>SUM(C78:D78)</f>
        <v>-400.03</v>
      </c>
      <c r="F78" s="194">
        <v>-400.03</v>
      </c>
      <c r="G78" s="163">
        <f>'Sch.111 Non-Vol Credit Seasonal'!$D$29</f>
        <v>-14.972307627549155</v>
      </c>
      <c r="H78" s="82">
        <f>SUM(F78:G78)</f>
        <v>-415.0023076275491</v>
      </c>
    </row>
    <row r="79" spans="1:8" x14ac:dyDescent="0.25">
      <c r="A79" s="39" t="s">
        <v>270</v>
      </c>
      <c r="B79" s="204">
        <f>EDATE(B78,1)</f>
        <v>45261</v>
      </c>
      <c r="C79" s="194">
        <v>-437.99</v>
      </c>
      <c r="D79" s="194">
        <v>0</v>
      </c>
      <c r="E79" s="82">
        <f t="shared" ref="E79:E89" si="12">SUM(C79:D79)</f>
        <v>-437.99</v>
      </c>
      <c r="F79" s="194">
        <v>-437.99</v>
      </c>
      <c r="G79" s="163">
        <f>'Sch.111 Non-Vol Credit Seasonal'!$E$29</f>
        <v>-18.273853292857559</v>
      </c>
      <c r="H79" s="82">
        <f t="shared" ref="H79:H89" si="13">SUM(F79:G79)</f>
        <v>-456.26385329285756</v>
      </c>
    </row>
    <row r="80" spans="1:8" x14ac:dyDescent="0.25">
      <c r="A80" s="39" t="s">
        <v>270</v>
      </c>
      <c r="B80" s="204">
        <f t="shared" ref="B80:B89" si="14">EDATE(B79,1)</f>
        <v>45292</v>
      </c>
      <c r="C80" s="194">
        <v>0</v>
      </c>
      <c r="D80" s="194">
        <v>0</v>
      </c>
      <c r="E80" s="82">
        <f t="shared" si="12"/>
        <v>0</v>
      </c>
      <c r="F80" s="194">
        <v>0</v>
      </c>
      <c r="G80" s="163">
        <f>'Sch.111 Non-Vol Credit Seasonal'!$F$29</f>
        <v>-15.914191667644673</v>
      </c>
      <c r="H80" s="82">
        <f t="shared" si="13"/>
        <v>-15.914191667644673</v>
      </c>
    </row>
    <row r="81" spans="1:8" x14ac:dyDescent="0.25">
      <c r="A81" s="39" t="s">
        <v>270</v>
      </c>
      <c r="B81" s="204">
        <f t="shared" si="14"/>
        <v>45323</v>
      </c>
      <c r="C81" s="194">
        <v>0</v>
      </c>
      <c r="D81" s="194">
        <v>0</v>
      </c>
      <c r="E81" s="82">
        <f t="shared" si="12"/>
        <v>0</v>
      </c>
      <c r="F81" s="194">
        <v>0</v>
      </c>
      <c r="G81" s="163">
        <f>'Sch.111 Non-Vol Credit Seasonal'!$G$29</f>
        <v>-14.377112994376681</v>
      </c>
      <c r="H81" s="82">
        <f t="shared" si="13"/>
        <v>-14.377112994376681</v>
      </c>
    </row>
    <row r="82" spans="1:8" x14ac:dyDescent="0.25">
      <c r="A82" s="39" t="s">
        <v>270</v>
      </c>
      <c r="B82" s="204">
        <f t="shared" si="14"/>
        <v>45352</v>
      </c>
      <c r="C82" s="194">
        <v>0</v>
      </c>
      <c r="D82" s="194">
        <v>0</v>
      </c>
      <c r="E82" s="82">
        <f t="shared" si="12"/>
        <v>0</v>
      </c>
      <c r="F82" s="194">
        <v>0</v>
      </c>
      <c r="G82" s="163">
        <f>'Sch.111 Non-Vol Credit Seasonal'!$H$29</f>
        <v>-12.772999152146065</v>
      </c>
      <c r="H82" s="82">
        <f t="shared" si="13"/>
        <v>-12.772999152146065</v>
      </c>
    </row>
    <row r="83" spans="1:8" x14ac:dyDescent="0.25">
      <c r="A83" s="39" t="s">
        <v>270</v>
      </c>
      <c r="B83" s="204">
        <f t="shared" si="14"/>
        <v>45383</v>
      </c>
      <c r="C83" s="194">
        <v>0</v>
      </c>
      <c r="D83" s="194">
        <v>0</v>
      </c>
      <c r="E83" s="82">
        <f t="shared" si="12"/>
        <v>0</v>
      </c>
      <c r="F83" s="194">
        <v>0</v>
      </c>
      <c r="G83" s="163">
        <f>'Sch.111 Non-Vol Credit Seasonal'!$I$29</f>
        <v>-9.1397871720034729</v>
      </c>
      <c r="H83" s="82">
        <f t="shared" si="13"/>
        <v>-9.1397871720034729</v>
      </c>
    </row>
    <row r="84" spans="1:8" x14ac:dyDescent="0.25">
      <c r="A84" s="39" t="s">
        <v>270</v>
      </c>
      <c r="B84" s="204">
        <f t="shared" si="14"/>
        <v>45413</v>
      </c>
      <c r="C84" s="194">
        <v>0</v>
      </c>
      <c r="D84" s="194">
        <v>0</v>
      </c>
      <c r="E84" s="82">
        <f t="shared" si="12"/>
        <v>0</v>
      </c>
      <c r="F84" s="194">
        <v>0</v>
      </c>
      <c r="G84" s="163">
        <f>'Sch.111 Non-Vol Credit Seasonal'!$J$29</f>
        <v>-6.6549204917053206</v>
      </c>
      <c r="H84" s="82">
        <f t="shared" si="13"/>
        <v>-6.6549204917053206</v>
      </c>
    </row>
    <row r="85" spans="1:8" x14ac:dyDescent="0.25">
      <c r="A85" s="39" t="s">
        <v>270</v>
      </c>
      <c r="B85" s="204">
        <f t="shared" si="14"/>
        <v>45444</v>
      </c>
      <c r="C85" s="194">
        <v>0</v>
      </c>
      <c r="D85" s="194">
        <v>0</v>
      </c>
      <c r="E85" s="82">
        <f t="shared" si="12"/>
        <v>0</v>
      </c>
      <c r="F85" s="194">
        <v>0</v>
      </c>
      <c r="G85" s="163">
        <f>'Sch.111 Non-Vol Credit Seasonal'!$K$29</f>
        <v>-5.3367317525046234</v>
      </c>
      <c r="H85" s="82">
        <f t="shared" si="13"/>
        <v>-5.3367317525046234</v>
      </c>
    </row>
    <row r="86" spans="1:8" x14ac:dyDescent="0.25">
      <c r="A86" s="39" t="s">
        <v>270</v>
      </c>
      <c r="B86" s="204">
        <f t="shared" si="14"/>
        <v>45474</v>
      </c>
      <c r="C86" s="194">
        <v>0</v>
      </c>
      <c r="D86" s="194">
        <v>0</v>
      </c>
      <c r="E86" s="82">
        <f t="shared" si="12"/>
        <v>0</v>
      </c>
      <c r="F86" s="194">
        <v>0</v>
      </c>
      <c r="G86" s="163">
        <f>'Sch.111 Non-Vol Credit Seasonal'!$L$29</f>
        <v>-4.5552536571540045</v>
      </c>
      <c r="H86" s="82">
        <f t="shared" si="13"/>
        <v>-4.5552536571540045</v>
      </c>
    </row>
    <row r="87" spans="1:8" x14ac:dyDescent="0.25">
      <c r="A87" s="39" t="s">
        <v>270</v>
      </c>
      <c r="B87" s="204">
        <f t="shared" si="14"/>
        <v>45505</v>
      </c>
      <c r="C87" s="194">
        <v>0</v>
      </c>
      <c r="D87" s="194">
        <v>0</v>
      </c>
      <c r="E87" s="82">
        <f t="shared" si="12"/>
        <v>0</v>
      </c>
      <c r="F87" s="194">
        <v>0</v>
      </c>
      <c r="G87" s="163">
        <f>'Sch.111 Non-Vol Credit Seasonal'!$M$29</f>
        <v>-5.0053112807520819</v>
      </c>
      <c r="H87" s="82">
        <f t="shared" si="13"/>
        <v>-5.0053112807520819</v>
      </c>
    </row>
    <row r="88" spans="1:8" x14ac:dyDescent="0.25">
      <c r="A88" s="39" t="s">
        <v>270</v>
      </c>
      <c r="B88" s="204">
        <f t="shared" si="14"/>
        <v>45536</v>
      </c>
      <c r="C88" s="194">
        <v>0</v>
      </c>
      <c r="D88" s="194">
        <v>0</v>
      </c>
      <c r="E88" s="82">
        <f t="shared" si="12"/>
        <v>0</v>
      </c>
      <c r="F88" s="194">
        <v>0</v>
      </c>
      <c r="G88" s="163">
        <f>'Sch.111 Non-Vol Credit Seasonal'!$N$29</f>
        <v>-6.1617539371077283</v>
      </c>
      <c r="H88" s="82">
        <f t="shared" si="13"/>
        <v>-6.1617539371077283</v>
      </c>
    </row>
    <row r="89" spans="1:8" x14ac:dyDescent="0.25">
      <c r="A89" s="39" t="s">
        <v>270</v>
      </c>
      <c r="B89" s="204">
        <f t="shared" si="14"/>
        <v>45566</v>
      </c>
      <c r="C89" s="194">
        <v>0</v>
      </c>
      <c r="D89" s="194">
        <v>0</v>
      </c>
      <c r="E89" s="82">
        <f t="shared" si="12"/>
        <v>0</v>
      </c>
      <c r="F89" s="194">
        <v>0</v>
      </c>
      <c r="G89" s="163">
        <f>'Sch.111 Non-Vol Credit Seasonal'!$O$29</f>
        <v>-10.435776974198632</v>
      </c>
      <c r="H89" s="82">
        <f t="shared" si="13"/>
        <v>-10.435776974198632</v>
      </c>
    </row>
  </sheetData>
  <mergeCells count="12">
    <mergeCell ref="A1:H1"/>
    <mergeCell ref="A2:H2"/>
    <mergeCell ref="A3:H3"/>
    <mergeCell ref="A4:H4"/>
    <mergeCell ref="C6:E6"/>
    <mergeCell ref="F6:H6"/>
    <mergeCell ref="C24:E24"/>
    <mergeCell ref="F24:H24"/>
    <mergeCell ref="C42:E42"/>
    <mergeCell ref="F42:H42"/>
    <mergeCell ref="C48:E48"/>
    <mergeCell ref="F48:H48"/>
  </mergeCells>
  <printOptions horizontalCentered="1"/>
  <pageMargins left="0.7" right="0.7" top="0.75" bottom="0.75" header="0.3" footer="0.3"/>
  <pageSetup scale="70" fitToHeight="2" orientation="landscape" blackAndWhite="1" r:id="rId1"/>
  <headerFooter>
    <oddFooter>&amp;L&amp;F 
&amp;A&amp;C&amp;P&amp;R&amp;D</oddFooter>
  </headerFooter>
  <rowBreaks count="1" manualBreakCount="1">
    <brk id="46" max="7"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42"/>
  <sheetViews>
    <sheetView zoomScale="90" zoomScaleNormal="90" workbookViewId="0">
      <selection activeCell="I38" sqref="I38"/>
    </sheetView>
  </sheetViews>
  <sheetFormatPr defaultColWidth="8.7109375" defaultRowHeight="15" x14ac:dyDescent="0.25"/>
  <cols>
    <col min="1" max="1" width="37.7109375" style="39" customWidth="1"/>
    <col min="2" max="2" width="9.140625" style="39" bestFit="1" customWidth="1"/>
    <col min="3" max="3" width="18.5703125" style="39" bestFit="1" customWidth="1"/>
    <col min="4" max="9" width="13.7109375" style="39" customWidth="1"/>
    <col min="10" max="10" width="15.85546875" style="39" customWidth="1"/>
    <col min="11" max="12" width="15.28515625" style="39" bestFit="1" customWidth="1"/>
    <col min="13" max="13" width="7.85546875" style="39" bestFit="1" customWidth="1"/>
    <col min="14" max="16384" width="8.7109375" style="39"/>
  </cols>
  <sheetData>
    <row r="1" spans="1:25" s="152" customFormat="1" x14ac:dyDescent="0.25">
      <c r="A1" s="208" t="s">
        <v>0</v>
      </c>
      <c r="B1" s="208"/>
      <c r="C1" s="208"/>
      <c r="D1" s="208"/>
      <c r="E1" s="208"/>
      <c r="F1" s="208"/>
      <c r="G1" s="208"/>
      <c r="H1" s="208"/>
      <c r="I1" s="208"/>
      <c r="J1" s="208"/>
      <c r="K1" s="208"/>
      <c r="L1" s="208"/>
      <c r="M1" s="208"/>
      <c r="N1" s="153"/>
    </row>
    <row r="2" spans="1:25" s="152" customFormat="1" x14ac:dyDescent="0.25">
      <c r="A2" s="208" t="s">
        <v>254</v>
      </c>
      <c r="B2" s="209"/>
      <c r="C2" s="209"/>
      <c r="D2" s="209"/>
      <c r="E2" s="209"/>
      <c r="F2" s="209"/>
      <c r="G2" s="209"/>
      <c r="H2" s="209"/>
      <c r="I2" s="209"/>
      <c r="J2" s="209"/>
      <c r="K2" s="209"/>
      <c r="L2" s="209"/>
      <c r="M2" s="209"/>
      <c r="N2" s="181"/>
      <c r="O2" s="182"/>
      <c r="P2" s="182"/>
      <c r="Q2" s="182"/>
      <c r="R2" s="182"/>
      <c r="S2" s="182"/>
      <c r="T2" s="182"/>
      <c r="U2" s="182"/>
      <c r="V2" s="182"/>
      <c r="W2" s="182"/>
      <c r="X2" s="182"/>
      <c r="Y2" s="182"/>
    </row>
    <row r="3" spans="1:25" s="152" customFormat="1" x14ac:dyDescent="0.25">
      <c r="A3" s="208" t="s">
        <v>230</v>
      </c>
      <c r="B3" s="208"/>
      <c r="C3" s="208"/>
      <c r="D3" s="208"/>
      <c r="E3" s="208"/>
      <c r="F3" s="208"/>
      <c r="G3" s="208"/>
      <c r="H3" s="208"/>
      <c r="I3" s="208"/>
      <c r="J3" s="208"/>
      <c r="K3" s="208"/>
      <c r="L3" s="208"/>
      <c r="M3" s="208"/>
      <c r="N3" s="153"/>
    </row>
    <row r="4" spans="1:25" s="152" customFormat="1" x14ac:dyDescent="0.25">
      <c r="A4" s="208" t="s">
        <v>106</v>
      </c>
      <c r="B4" s="208"/>
      <c r="C4" s="208"/>
      <c r="D4" s="208"/>
      <c r="E4" s="208"/>
      <c r="F4" s="208"/>
      <c r="G4" s="208"/>
      <c r="H4" s="208"/>
      <c r="I4" s="208"/>
      <c r="J4" s="208"/>
      <c r="K4" s="208"/>
      <c r="L4" s="208"/>
      <c r="M4" s="208"/>
      <c r="N4" s="153"/>
    </row>
    <row r="5" spans="1:25" x14ac:dyDescent="0.25">
      <c r="F5" s="107"/>
      <c r="G5" s="107"/>
      <c r="H5" s="107"/>
      <c r="I5" s="107"/>
    </row>
    <row r="6" spans="1:25" x14ac:dyDescent="0.25">
      <c r="A6" s="193" t="s">
        <v>235</v>
      </c>
      <c r="D6" s="205" t="s">
        <v>236</v>
      </c>
      <c r="E6" s="206"/>
      <c r="F6" s="207"/>
      <c r="G6" s="205" t="s">
        <v>66</v>
      </c>
      <c r="H6" s="206"/>
      <c r="I6" s="207"/>
    </row>
    <row r="7" spans="1:25" x14ac:dyDescent="0.25">
      <c r="A7" s="59"/>
      <c r="B7" s="59"/>
      <c r="C7" s="59" t="s">
        <v>130</v>
      </c>
      <c r="D7" s="59" t="s">
        <v>232</v>
      </c>
      <c r="E7" s="59" t="s">
        <v>232</v>
      </c>
      <c r="F7" s="59" t="s">
        <v>2</v>
      </c>
      <c r="G7" s="59" t="s">
        <v>232</v>
      </c>
      <c r="H7" s="59" t="s">
        <v>232</v>
      </c>
      <c r="I7" s="59" t="s">
        <v>2</v>
      </c>
      <c r="J7" s="183" t="s">
        <v>130</v>
      </c>
      <c r="K7" s="183" t="s">
        <v>130</v>
      </c>
      <c r="L7" s="59" t="s">
        <v>232</v>
      </c>
      <c r="M7" s="59"/>
      <c r="V7" s="184"/>
      <c r="W7" s="184"/>
      <c r="X7" s="184"/>
    </row>
    <row r="8" spans="1:25" x14ac:dyDescent="0.25">
      <c r="A8" s="59"/>
      <c r="B8" s="59" t="s">
        <v>135</v>
      </c>
      <c r="C8" s="59" t="s">
        <v>237</v>
      </c>
      <c r="D8" s="59" t="s">
        <v>94</v>
      </c>
      <c r="E8" s="59" t="s">
        <v>234</v>
      </c>
      <c r="F8" s="59" t="s">
        <v>232</v>
      </c>
      <c r="G8" s="59" t="s">
        <v>94</v>
      </c>
      <c r="H8" s="59" t="s">
        <v>234</v>
      </c>
      <c r="I8" s="59" t="s">
        <v>232</v>
      </c>
      <c r="J8" s="183" t="s">
        <v>4</v>
      </c>
      <c r="K8" s="183" t="s">
        <v>4</v>
      </c>
      <c r="L8" s="59" t="s">
        <v>4</v>
      </c>
      <c r="M8" s="59" t="s">
        <v>150</v>
      </c>
      <c r="V8" s="184"/>
      <c r="W8" s="184"/>
      <c r="X8" s="184"/>
    </row>
    <row r="9" spans="1:25" x14ac:dyDescent="0.25">
      <c r="A9" s="60" t="s">
        <v>7</v>
      </c>
      <c r="B9" s="60" t="s">
        <v>153</v>
      </c>
      <c r="C9" s="87" t="s">
        <v>134</v>
      </c>
      <c r="D9" s="60" t="s">
        <v>238</v>
      </c>
      <c r="E9" s="60" t="s">
        <v>238</v>
      </c>
      <c r="F9" s="60" t="s">
        <v>238</v>
      </c>
      <c r="G9" s="60" t="s">
        <v>238</v>
      </c>
      <c r="H9" s="60" t="s">
        <v>238</v>
      </c>
      <c r="I9" s="60" t="s">
        <v>238</v>
      </c>
      <c r="J9" s="158" t="s">
        <v>200</v>
      </c>
      <c r="K9" s="158" t="s">
        <v>231</v>
      </c>
      <c r="L9" s="60" t="s">
        <v>159</v>
      </c>
      <c r="M9" s="60" t="s">
        <v>159</v>
      </c>
      <c r="V9" s="184"/>
      <c r="W9" s="185"/>
      <c r="X9" s="184"/>
    </row>
    <row r="10" spans="1:25" x14ac:dyDescent="0.25">
      <c r="A10" s="39" t="s">
        <v>19</v>
      </c>
      <c r="B10" s="107">
        <v>23</v>
      </c>
      <c r="C10" s="199">
        <v>8800188.0216536336</v>
      </c>
      <c r="D10" s="194">
        <v>-12.1</v>
      </c>
      <c r="E10" s="186">
        <v>0</v>
      </c>
      <c r="F10" s="82">
        <f>SUM(D10:E10)</f>
        <v>-12.1</v>
      </c>
      <c r="G10" s="194">
        <v>-12.1</v>
      </c>
      <c r="H10" s="163">
        <f>'Sch. 111 Non-Vol Credit Rates'!H11</f>
        <v>-8.24</v>
      </c>
      <c r="I10" s="82">
        <f>SUM(G10:H10)</f>
        <v>-20.34</v>
      </c>
      <c r="J10" s="121">
        <f>C10*F10</f>
        <v>-106482275.06200896</v>
      </c>
      <c r="K10" s="121">
        <f>C10*I10</f>
        <v>-178995824.36043492</v>
      </c>
      <c r="L10" s="61">
        <f>K10-J10</f>
        <v>-72513549.298425958</v>
      </c>
      <c r="M10" s="69">
        <f>L10/J10</f>
        <v>0.68099173553719028</v>
      </c>
      <c r="V10" s="184"/>
      <c r="W10" s="189"/>
      <c r="X10" s="184"/>
    </row>
    <row r="11" spans="1:25" ht="17.25" x14ac:dyDescent="0.25">
      <c r="A11" s="39" t="s">
        <v>239</v>
      </c>
      <c r="B11" s="107">
        <v>16</v>
      </c>
      <c r="C11" s="47">
        <v>368.21052631578942</v>
      </c>
      <c r="D11" s="194">
        <v>-3.88</v>
      </c>
      <c r="E11" s="186">
        <v>0</v>
      </c>
      <c r="F11" s="82">
        <f t="shared" ref="F11:F22" si="0">SUM(D11:E11)</f>
        <v>-3.88</v>
      </c>
      <c r="G11" s="194">
        <v>-3.88</v>
      </c>
      <c r="H11" s="163">
        <f>'Sch. 111 Non-Vol Credit Rates'!H12</f>
        <v>-2.4700000000000002</v>
      </c>
      <c r="I11" s="82">
        <f t="shared" ref="I11:I22" si="1">SUM(G11:H11)</f>
        <v>-6.35</v>
      </c>
      <c r="J11" s="121">
        <f t="shared" ref="J11:J21" si="2">C11*F11</f>
        <v>-1428.656842105263</v>
      </c>
      <c r="K11" s="121">
        <f t="shared" ref="K11:K22" si="3">C11*I11</f>
        <v>-2338.1368421052625</v>
      </c>
      <c r="L11" s="61">
        <f t="shared" ref="L11:L22" si="4">K11-J11</f>
        <v>-909.47999999999956</v>
      </c>
      <c r="M11" s="69">
        <f t="shared" ref="M11:M23" si="5">L11/J11</f>
        <v>0.63659793814432963</v>
      </c>
      <c r="V11" s="184"/>
      <c r="W11" s="184"/>
      <c r="X11" s="184"/>
    </row>
    <row r="12" spans="1:25" x14ac:dyDescent="0.25">
      <c r="A12" s="39" t="s">
        <v>21</v>
      </c>
      <c r="B12" s="107">
        <v>31</v>
      </c>
      <c r="C12" s="199">
        <v>680169</v>
      </c>
      <c r="D12" s="194">
        <v>-72.34</v>
      </c>
      <c r="E12" s="186">
        <v>0</v>
      </c>
      <c r="F12" s="82">
        <f t="shared" si="0"/>
        <v>-72.34</v>
      </c>
      <c r="G12" s="194">
        <v>-72.34</v>
      </c>
      <c r="H12" s="163">
        <f>'Sch. 111 Non-Vol Credit Rates'!H13</f>
        <v>-43.35</v>
      </c>
      <c r="I12" s="82">
        <f t="shared" si="1"/>
        <v>-115.69</v>
      </c>
      <c r="J12" s="121">
        <f t="shared" si="2"/>
        <v>-49203425.460000001</v>
      </c>
      <c r="K12" s="121">
        <f t="shared" si="3"/>
        <v>-78688751.609999999</v>
      </c>
      <c r="L12" s="61">
        <f t="shared" si="4"/>
        <v>-29485326.149999999</v>
      </c>
      <c r="M12" s="69">
        <f t="shared" si="5"/>
        <v>0.59925352502073537</v>
      </c>
      <c r="V12" s="184"/>
      <c r="W12" s="184"/>
      <c r="X12" s="184"/>
    </row>
    <row r="13" spans="1:25" x14ac:dyDescent="0.25">
      <c r="A13" s="39" t="s">
        <v>22</v>
      </c>
      <c r="B13" s="107">
        <v>41</v>
      </c>
      <c r="C13" s="199">
        <v>14805</v>
      </c>
      <c r="D13" s="194">
        <v>-920.44</v>
      </c>
      <c r="E13" s="186">
        <v>0</v>
      </c>
      <c r="F13" s="82">
        <f t="shared" si="0"/>
        <v>-920.44</v>
      </c>
      <c r="G13" s="194">
        <v>-920.44</v>
      </c>
      <c r="H13" s="163">
        <f>'Sch. 111 Non-Vol Credit Rates'!H14</f>
        <v>-543.32000000000005</v>
      </c>
      <c r="I13" s="82">
        <f t="shared" si="1"/>
        <v>-1463.7600000000002</v>
      </c>
      <c r="J13" s="121">
        <f t="shared" si="2"/>
        <v>-13627114.200000001</v>
      </c>
      <c r="K13" s="121">
        <f t="shared" si="3"/>
        <v>-21670966.800000004</v>
      </c>
      <c r="L13" s="61">
        <f t="shared" si="4"/>
        <v>-8043852.6000000034</v>
      </c>
      <c r="M13" s="69">
        <f t="shared" si="5"/>
        <v>0.59028290817435158</v>
      </c>
    </row>
    <row r="14" spans="1:25" x14ac:dyDescent="0.25">
      <c r="A14" s="39" t="s">
        <v>23</v>
      </c>
      <c r="B14" s="107">
        <v>85</v>
      </c>
      <c r="C14" s="199">
        <v>408</v>
      </c>
      <c r="D14" s="194">
        <v>-5623.33</v>
      </c>
      <c r="E14" s="186">
        <v>0</v>
      </c>
      <c r="F14" s="82">
        <f t="shared" si="0"/>
        <v>-5623.33</v>
      </c>
      <c r="G14" s="194">
        <v>-5623.33</v>
      </c>
      <c r="H14" s="163">
        <f>'Sch. 111 Non-Vol Credit Rates'!H15</f>
        <v>-4583.75</v>
      </c>
      <c r="I14" s="82">
        <f t="shared" si="1"/>
        <v>-10207.08</v>
      </c>
      <c r="J14" s="121">
        <f t="shared" si="2"/>
        <v>-2294318.64</v>
      </c>
      <c r="K14" s="121">
        <f t="shared" si="3"/>
        <v>-4164488.64</v>
      </c>
      <c r="L14" s="61">
        <f t="shared" si="4"/>
        <v>-1870170</v>
      </c>
      <c r="M14" s="69">
        <f t="shared" si="5"/>
        <v>0.81513089219377122</v>
      </c>
    </row>
    <row r="15" spans="1:25" x14ac:dyDescent="0.25">
      <c r="A15" s="39" t="s">
        <v>24</v>
      </c>
      <c r="B15" s="107">
        <v>86</v>
      </c>
      <c r="C15" s="199">
        <v>1206</v>
      </c>
      <c r="D15" s="194">
        <v>-863.99</v>
      </c>
      <c r="E15" s="186">
        <v>0</v>
      </c>
      <c r="F15" s="82">
        <f t="shared" si="0"/>
        <v>-863.99</v>
      </c>
      <c r="G15" s="194">
        <v>-863.99</v>
      </c>
      <c r="H15" s="163">
        <f>'Sch. 111 Non-Vol Credit Rates'!H16</f>
        <v>-529.04</v>
      </c>
      <c r="I15" s="82">
        <f t="shared" si="1"/>
        <v>-1393.03</v>
      </c>
      <c r="J15" s="121">
        <f t="shared" si="2"/>
        <v>-1041971.9400000001</v>
      </c>
      <c r="K15" s="121">
        <f t="shared" si="3"/>
        <v>-1679994.18</v>
      </c>
      <c r="L15" s="61">
        <f t="shared" si="4"/>
        <v>-638022.23999999987</v>
      </c>
      <c r="M15" s="69">
        <f t="shared" si="5"/>
        <v>0.61232190187386415</v>
      </c>
    </row>
    <row r="16" spans="1:25" x14ac:dyDescent="0.25">
      <c r="A16" s="39" t="s">
        <v>25</v>
      </c>
      <c r="B16" s="107">
        <v>87</v>
      </c>
      <c r="C16" s="199">
        <v>12</v>
      </c>
      <c r="D16" s="194">
        <v>-10800.13</v>
      </c>
      <c r="E16" s="186">
        <v>0</v>
      </c>
      <c r="F16" s="82">
        <f t="shared" si="0"/>
        <v>-10800.13</v>
      </c>
      <c r="G16" s="194">
        <v>-10800.13</v>
      </c>
      <c r="H16" s="163">
        <f>'Sch. 111 Non-Vol Credit Rates'!H17</f>
        <v>-16883.84</v>
      </c>
      <c r="I16" s="82">
        <f t="shared" si="1"/>
        <v>-27683.97</v>
      </c>
      <c r="J16" s="121">
        <f t="shared" si="2"/>
        <v>-129601.56</v>
      </c>
      <c r="K16" s="121">
        <f t="shared" si="3"/>
        <v>-332207.64</v>
      </c>
      <c r="L16" s="61">
        <f t="shared" si="4"/>
        <v>-202606.08000000002</v>
      </c>
      <c r="M16" s="69">
        <f t="shared" si="5"/>
        <v>1.5632997010221175</v>
      </c>
    </row>
    <row r="17" spans="1:13" x14ac:dyDescent="0.25">
      <c r="A17" s="39" t="s">
        <v>26</v>
      </c>
      <c r="B17" s="107" t="s">
        <v>27</v>
      </c>
      <c r="C17" s="199">
        <v>12</v>
      </c>
      <c r="D17" s="194">
        <v>-309.02</v>
      </c>
      <c r="E17" s="186">
        <v>0</v>
      </c>
      <c r="F17" s="82">
        <f t="shared" si="0"/>
        <v>-309.02</v>
      </c>
      <c r="G17" s="194">
        <v>-309.02</v>
      </c>
      <c r="H17" s="163">
        <f>'Sch. 111 Non-Vol Credit Rates'!H18</f>
        <v>-10.3</v>
      </c>
      <c r="I17" s="82">
        <f t="shared" si="1"/>
        <v>-319.32</v>
      </c>
      <c r="J17" s="121">
        <f t="shared" si="2"/>
        <v>-3708.24</v>
      </c>
      <c r="K17" s="121">
        <f t="shared" si="3"/>
        <v>-3831.84</v>
      </c>
      <c r="L17" s="61">
        <f t="shared" si="4"/>
        <v>-123.60000000000036</v>
      </c>
      <c r="M17" s="69">
        <f>L17/J17</f>
        <v>3.3331175975665109E-2</v>
      </c>
    </row>
    <row r="18" spans="1:13" x14ac:dyDescent="0.25">
      <c r="A18" s="39" t="s">
        <v>28</v>
      </c>
      <c r="B18" s="107" t="s">
        <v>29</v>
      </c>
      <c r="C18" s="199">
        <v>1128</v>
      </c>
      <c r="D18" s="194">
        <v>-3840.3</v>
      </c>
      <c r="E18" s="186">
        <v>0</v>
      </c>
      <c r="F18" s="82">
        <f t="shared" si="0"/>
        <v>-3840.3</v>
      </c>
      <c r="G18" s="194">
        <v>-3840.3</v>
      </c>
      <c r="H18" s="163">
        <f>'Sch. 111 Non-Vol Credit Rates'!H19</f>
        <v>-2460.5300000000002</v>
      </c>
      <c r="I18" s="82">
        <f t="shared" si="1"/>
        <v>-6300.83</v>
      </c>
      <c r="J18" s="121">
        <f t="shared" si="2"/>
        <v>-4331858.4000000004</v>
      </c>
      <c r="K18" s="121">
        <f t="shared" si="3"/>
        <v>-7107336.2400000002</v>
      </c>
      <c r="L18" s="61">
        <f t="shared" si="4"/>
        <v>-2775477.84</v>
      </c>
      <c r="M18" s="69">
        <f t="shared" si="5"/>
        <v>0.64071296513293219</v>
      </c>
    </row>
    <row r="19" spans="1:13" x14ac:dyDescent="0.25">
      <c r="A19" s="39" t="s">
        <v>30</v>
      </c>
      <c r="B19" s="107" t="s">
        <v>31</v>
      </c>
      <c r="C19" s="199">
        <v>984</v>
      </c>
      <c r="D19" s="194">
        <v>-13038.68</v>
      </c>
      <c r="E19" s="186">
        <v>0</v>
      </c>
      <c r="F19" s="82">
        <f t="shared" si="0"/>
        <v>-13038.68</v>
      </c>
      <c r="G19" s="194">
        <v>-13038.68</v>
      </c>
      <c r="H19" s="163">
        <f>'Sch. 111 Non-Vol Credit Rates'!H20</f>
        <v>-7722.73</v>
      </c>
      <c r="I19" s="82">
        <f t="shared" si="1"/>
        <v>-20761.41</v>
      </c>
      <c r="J19" s="121">
        <f t="shared" si="2"/>
        <v>-12830061.120000001</v>
      </c>
      <c r="K19" s="121">
        <f t="shared" si="3"/>
        <v>-20429227.440000001</v>
      </c>
      <c r="L19" s="61">
        <f t="shared" si="4"/>
        <v>-7599166.3200000003</v>
      </c>
      <c r="M19" s="69">
        <f t="shared" si="5"/>
        <v>0.59229385183162708</v>
      </c>
    </row>
    <row r="20" spans="1:13" x14ac:dyDescent="0.25">
      <c r="A20" s="39" t="s">
        <v>32</v>
      </c>
      <c r="B20" s="107" t="s">
        <v>33</v>
      </c>
      <c r="C20" s="199">
        <v>84</v>
      </c>
      <c r="D20" s="194">
        <v>-3753.55</v>
      </c>
      <c r="E20" s="186">
        <v>0</v>
      </c>
      <c r="F20" s="82">
        <f t="shared" si="0"/>
        <v>-3753.55</v>
      </c>
      <c r="G20" s="194">
        <v>-3753.55</v>
      </c>
      <c r="H20" s="163">
        <f>'Sch. 111 Non-Vol Credit Rates'!H21</f>
        <v>-1849.68</v>
      </c>
      <c r="I20" s="82">
        <f t="shared" si="1"/>
        <v>-5603.2300000000005</v>
      </c>
      <c r="J20" s="121">
        <f t="shared" si="2"/>
        <v>-315298.2</v>
      </c>
      <c r="K20" s="121">
        <f t="shared" si="3"/>
        <v>-470671.32000000007</v>
      </c>
      <c r="L20" s="61">
        <f t="shared" si="4"/>
        <v>-155373.12000000005</v>
      </c>
      <c r="M20" s="69">
        <f t="shared" si="5"/>
        <v>0.49278150017982991</v>
      </c>
    </row>
    <row r="21" spans="1:13" x14ac:dyDescent="0.25">
      <c r="A21" s="39" t="s">
        <v>34</v>
      </c>
      <c r="B21" s="107" t="s">
        <v>35</v>
      </c>
      <c r="C21" s="199">
        <v>36</v>
      </c>
      <c r="D21" s="194">
        <v>-78306.03</v>
      </c>
      <c r="E21" s="186">
        <v>0</v>
      </c>
      <c r="F21" s="82">
        <f t="shared" si="0"/>
        <v>-78306.03</v>
      </c>
      <c r="G21" s="194">
        <v>-78306.03</v>
      </c>
      <c r="H21" s="163">
        <f>'Sch. 111 Non-Vol Credit Rates'!H22</f>
        <v>-136871.71</v>
      </c>
      <c r="I21" s="82">
        <f t="shared" si="1"/>
        <v>-215177.74</v>
      </c>
      <c r="J21" s="121">
        <f t="shared" si="2"/>
        <v>-2819017.08</v>
      </c>
      <c r="K21" s="121">
        <f t="shared" si="3"/>
        <v>-7746398.6399999997</v>
      </c>
      <c r="L21" s="61">
        <f t="shared" si="4"/>
        <v>-4927381.5599999996</v>
      </c>
      <c r="M21" s="69">
        <f t="shared" si="5"/>
        <v>1.7479076643267446</v>
      </c>
    </row>
    <row r="22" spans="1:13" x14ac:dyDescent="0.25">
      <c r="A22" s="39" t="s">
        <v>36</v>
      </c>
      <c r="B22" s="107"/>
      <c r="C22" s="199">
        <v>84</v>
      </c>
      <c r="D22" s="194">
        <v>-34268.230000000003</v>
      </c>
      <c r="E22" s="186">
        <v>0</v>
      </c>
      <c r="F22" s="82">
        <f t="shared" si="0"/>
        <v>-34268.230000000003</v>
      </c>
      <c r="G22" s="194">
        <v>-34268.230000000003</v>
      </c>
      <c r="H22" s="163">
        <f>'Sch. 111 Non-Vol Credit Rates'!H23</f>
        <v>-19537.599999999999</v>
      </c>
      <c r="I22" s="82">
        <f t="shared" si="1"/>
        <v>-53805.83</v>
      </c>
      <c r="J22" s="121">
        <f>C22*F22</f>
        <v>-2878531.3200000003</v>
      </c>
      <c r="K22" s="121">
        <f t="shared" si="3"/>
        <v>-4519689.72</v>
      </c>
      <c r="L22" s="61">
        <f t="shared" si="4"/>
        <v>-1641158.3999999994</v>
      </c>
      <c r="M22" s="69">
        <f t="shared" si="5"/>
        <v>0.57013741299156662</v>
      </c>
    </row>
    <row r="23" spans="1:13" x14ac:dyDescent="0.25">
      <c r="A23" s="39" t="s">
        <v>2</v>
      </c>
      <c r="C23" s="51">
        <f>SUM(C10:C22)</f>
        <v>9499484.2321799491</v>
      </c>
      <c r="D23" s="190"/>
      <c r="E23" s="190"/>
      <c r="F23" s="187"/>
      <c r="G23" s="187"/>
      <c r="H23" s="187"/>
      <c r="I23" s="187"/>
      <c r="J23" s="128">
        <f t="shared" ref="J23:L23" si="6">SUM(J10:J22)</f>
        <v>-195958609.87885106</v>
      </c>
      <c r="K23" s="128">
        <f t="shared" si="6"/>
        <v>-325811726.56727701</v>
      </c>
      <c r="L23" s="67">
        <f t="shared" si="6"/>
        <v>-129853116.68842599</v>
      </c>
      <c r="M23" s="66">
        <f t="shared" si="5"/>
        <v>0.66265583721330767</v>
      </c>
    </row>
    <row r="24" spans="1:13" x14ac:dyDescent="0.25">
      <c r="J24" s="61"/>
      <c r="K24" s="61"/>
    </row>
    <row r="25" spans="1:13" x14ac:dyDescent="0.25">
      <c r="A25" s="193" t="s">
        <v>253</v>
      </c>
      <c r="C25" s="52"/>
      <c r="D25" s="205" t="s">
        <v>236</v>
      </c>
      <c r="E25" s="206"/>
      <c r="F25" s="207"/>
      <c r="G25" s="205" t="s">
        <v>66</v>
      </c>
      <c r="H25" s="206"/>
      <c r="I25" s="207"/>
    </row>
    <row r="26" spans="1:13" x14ac:dyDescent="0.25">
      <c r="A26" s="59"/>
      <c r="B26" s="59"/>
      <c r="C26" s="59" t="s">
        <v>130</v>
      </c>
      <c r="D26" s="59" t="s">
        <v>232</v>
      </c>
      <c r="E26" s="59" t="s">
        <v>232</v>
      </c>
      <c r="F26" s="59" t="s">
        <v>2</v>
      </c>
      <c r="G26" s="59" t="s">
        <v>232</v>
      </c>
      <c r="H26" s="59" t="s">
        <v>232</v>
      </c>
      <c r="I26" s="59" t="s">
        <v>2</v>
      </c>
      <c r="J26" s="183" t="s">
        <v>130</v>
      </c>
      <c r="K26" s="183" t="s">
        <v>130</v>
      </c>
      <c r="L26" s="59" t="s">
        <v>232</v>
      </c>
      <c r="M26" s="59"/>
    </row>
    <row r="27" spans="1:13" x14ac:dyDescent="0.25">
      <c r="A27" s="59"/>
      <c r="B27" s="59" t="s">
        <v>135</v>
      </c>
      <c r="C27" s="59" t="s">
        <v>233</v>
      </c>
      <c r="D27" s="59" t="s">
        <v>94</v>
      </c>
      <c r="E27" s="59" t="s">
        <v>234</v>
      </c>
      <c r="F27" s="59" t="s">
        <v>232</v>
      </c>
      <c r="G27" s="59" t="s">
        <v>94</v>
      </c>
      <c r="H27" s="59" t="s">
        <v>234</v>
      </c>
      <c r="I27" s="59" t="s">
        <v>232</v>
      </c>
      <c r="J27" s="183" t="s">
        <v>4</v>
      </c>
      <c r="K27" s="183" t="s">
        <v>4</v>
      </c>
      <c r="L27" s="59" t="s">
        <v>4</v>
      </c>
      <c r="M27" s="59" t="s">
        <v>150</v>
      </c>
    </row>
    <row r="28" spans="1:13" x14ac:dyDescent="0.25">
      <c r="A28" s="60" t="s">
        <v>7</v>
      </c>
      <c r="B28" s="60" t="s">
        <v>153</v>
      </c>
      <c r="C28" s="46" t="str">
        <f>C9</f>
        <v>12ME Oct. 2024</v>
      </c>
      <c r="D28" s="60" t="s">
        <v>240</v>
      </c>
      <c r="E28" s="60" t="s">
        <v>240</v>
      </c>
      <c r="F28" s="60" t="s">
        <v>240</v>
      </c>
      <c r="G28" s="60" t="s">
        <v>240</v>
      </c>
      <c r="H28" s="60" t="s">
        <v>240</v>
      </c>
      <c r="I28" s="60" t="s">
        <v>240</v>
      </c>
      <c r="J28" s="158" t="s">
        <v>200</v>
      </c>
      <c r="K28" s="158" t="s">
        <v>231</v>
      </c>
      <c r="L28" s="60" t="s">
        <v>159</v>
      </c>
      <c r="M28" s="60" t="s">
        <v>159</v>
      </c>
    </row>
    <row r="29" spans="1:13" x14ac:dyDescent="0.25">
      <c r="A29" s="39" t="s">
        <v>60</v>
      </c>
      <c r="B29" s="107">
        <v>23</v>
      </c>
      <c r="C29" s="117">
        <v>52127398.712846421</v>
      </c>
      <c r="D29" s="186">
        <v>-0.24697</v>
      </c>
      <c r="E29" s="186">
        <v>0</v>
      </c>
      <c r="F29" s="187">
        <f t="shared" ref="F29" si="7">SUM(D29:E29)</f>
        <v>-0.24697</v>
      </c>
      <c r="G29" s="186">
        <v>-0.24697</v>
      </c>
      <c r="H29" s="188">
        <f>'Sch. 111 Low Inc. Credit Rates'!$F$11</f>
        <v>-0.16566</v>
      </c>
      <c r="I29" s="187">
        <f t="shared" ref="I29" si="8">SUM(G29:H29)</f>
        <v>-0.41263</v>
      </c>
      <c r="J29" s="121">
        <f t="shared" ref="J29" si="9">C29*F29</f>
        <v>-12873903.660111681</v>
      </c>
      <c r="K29" s="121">
        <f t="shared" ref="K29" si="10">C29*I29</f>
        <v>-21509328.530881818</v>
      </c>
      <c r="L29" s="61">
        <f t="shared" ref="L29" si="11">K29-J29</f>
        <v>-8635424.8707701378</v>
      </c>
      <c r="M29" s="66">
        <f t="shared" ref="M29" si="12">L29/J29</f>
        <v>0.67076972911689681</v>
      </c>
    </row>
    <row r="32" spans="1:13" x14ac:dyDescent="0.25">
      <c r="A32" s="195" t="s">
        <v>241</v>
      </c>
      <c r="B32" s="195"/>
      <c r="C32" s="195"/>
      <c r="D32" s="195"/>
      <c r="E32" s="195"/>
      <c r="F32" s="196"/>
      <c r="G32" s="196"/>
      <c r="H32" s="196"/>
      <c r="I32" s="197"/>
      <c r="J32" s="198">
        <f>SUM(J23,J29)</f>
        <v>-208832513.53896272</v>
      </c>
      <c r="K32" s="198">
        <f t="shared" ref="K32:L32" si="13">SUM(K23,K29)</f>
        <v>-347321055.09815884</v>
      </c>
      <c r="L32" s="198">
        <f t="shared" si="13"/>
        <v>-138488541.55919611</v>
      </c>
      <c r="M32" s="197">
        <f>L32/J32</f>
        <v>0.66315603452887495</v>
      </c>
    </row>
    <row r="34" spans="1:9" ht="17.25" x14ac:dyDescent="0.25">
      <c r="A34" s="39" t="s">
        <v>242</v>
      </c>
    </row>
    <row r="38" spans="1:9" x14ac:dyDescent="0.25">
      <c r="F38" s="187"/>
      <c r="I38" s="187"/>
    </row>
    <row r="42" spans="1:9" ht="17.25" x14ac:dyDescent="0.25">
      <c r="B42" s="192"/>
    </row>
  </sheetData>
  <mergeCells count="8">
    <mergeCell ref="D25:F25"/>
    <mergeCell ref="G25:I25"/>
    <mergeCell ref="A1:M1"/>
    <mergeCell ref="A2:M2"/>
    <mergeCell ref="A3:M3"/>
    <mergeCell ref="A4:M4"/>
    <mergeCell ref="D6:F6"/>
    <mergeCell ref="G6:I6"/>
  </mergeCells>
  <printOptions horizontalCentered="1"/>
  <pageMargins left="0.7" right="0.7" top="0.75" bottom="0.75" header="0.3" footer="0.3"/>
  <pageSetup scale="60" orientation="landscape" blackAndWhite="1" r:id="rId1"/>
  <headerFooter>
    <oddFooter>&amp;L&amp;F 
&amp;A&amp;C&amp;P&amp;R&amp;D</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
  <sheetViews>
    <sheetView workbookViewId="0">
      <selection activeCell="L33" sqref="L33"/>
    </sheetView>
  </sheetViews>
  <sheetFormatPr defaultRowHeight="15" x14ac:dyDescent="0.25"/>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1"/>
  <sheetViews>
    <sheetView zoomScale="90" zoomScaleNormal="90" workbookViewId="0">
      <selection activeCell="H22" sqref="H22"/>
    </sheetView>
  </sheetViews>
  <sheetFormatPr defaultColWidth="9.140625" defaultRowHeight="15" x14ac:dyDescent="0.25"/>
  <cols>
    <col min="1" max="1" width="9.140625" style="25"/>
    <col min="2" max="2" width="5.140625" style="25" customWidth="1"/>
    <col min="3" max="3" width="37" style="25" customWidth="1"/>
    <col min="4" max="4" width="6" style="25" customWidth="1"/>
    <col min="5" max="5" width="14.85546875" style="25" bestFit="1" customWidth="1"/>
    <col min="6" max="6" width="9.140625" style="25" customWidth="1"/>
    <col min="7" max="16384" width="9.140625" style="25"/>
  </cols>
  <sheetData>
    <row r="1" spans="1:5" ht="18.75" x14ac:dyDescent="0.3">
      <c r="A1" s="98" t="s">
        <v>119</v>
      </c>
    </row>
    <row r="2" spans="1:5" ht="15.75" x14ac:dyDescent="0.25">
      <c r="A2" s="99" t="s">
        <v>120</v>
      </c>
    </row>
    <row r="4" spans="1:5" ht="18.75" x14ac:dyDescent="0.3">
      <c r="C4" s="26"/>
    </row>
    <row r="5" spans="1:5" ht="18.75" x14ac:dyDescent="0.3">
      <c r="B5" s="27" t="s">
        <v>40</v>
      </c>
      <c r="C5" s="28"/>
      <c r="D5" s="29"/>
      <c r="E5" s="29"/>
    </row>
    <row r="6" spans="1:5" s="32" customFormat="1" ht="18.75" x14ac:dyDescent="0.3">
      <c r="B6" s="30"/>
      <c r="C6" s="31"/>
    </row>
    <row r="7" spans="1:5" ht="15.75" x14ac:dyDescent="0.25">
      <c r="B7" s="102">
        <f t="shared" ref="B7:B14" si="0">+ROW()</f>
        <v>7</v>
      </c>
      <c r="C7" s="33" t="s">
        <v>121</v>
      </c>
      <c r="D7" s="33"/>
      <c r="E7" s="33"/>
    </row>
    <row r="8" spans="1:5" x14ac:dyDescent="0.25">
      <c r="B8" s="102">
        <f t="shared" si="0"/>
        <v>8</v>
      </c>
      <c r="E8" s="35" t="s">
        <v>122</v>
      </c>
    </row>
    <row r="9" spans="1:5" x14ac:dyDescent="0.25">
      <c r="B9" s="102">
        <f t="shared" si="0"/>
        <v>9</v>
      </c>
      <c r="C9" s="25" t="s">
        <v>41</v>
      </c>
      <c r="E9" s="103" t="s">
        <v>123</v>
      </c>
    </row>
    <row r="10" spans="1:5" x14ac:dyDescent="0.25">
      <c r="B10" s="102">
        <f t="shared" si="0"/>
        <v>10</v>
      </c>
      <c r="C10" s="25" t="s">
        <v>42</v>
      </c>
      <c r="E10" s="104">
        <v>158016974.5825817</v>
      </c>
    </row>
    <row r="11" spans="1:5" x14ac:dyDescent="0.25">
      <c r="B11" s="102">
        <f t="shared" si="0"/>
        <v>11</v>
      </c>
      <c r="C11" s="36" t="s">
        <v>43</v>
      </c>
      <c r="D11" s="37">
        <v>0.21</v>
      </c>
      <c r="E11" s="105">
        <f>-E10*$D11</f>
        <v>-33183564.662342157</v>
      </c>
    </row>
    <row r="12" spans="1:5" x14ac:dyDescent="0.25">
      <c r="B12" s="102">
        <f t="shared" si="0"/>
        <v>12</v>
      </c>
      <c r="C12" s="36" t="s">
        <v>44</v>
      </c>
      <c r="D12" s="38"/>
      <c r="E12" s="104">
        <f>-E10-E11</f>
        <v>-124833409.92023954</v>
      </c>
    </row>
    <row r="13" spans="1:5" ht="15.75" customHeight="1" x14ac:dyDescent="0.25">
      <c r="B13" s="102">
        <f t="shared" si="0"/>
        <v>13</v>
      </c>
      <c r="C13" s="25" t="s">
        <v>45</v>
      </c>
      <c r="E13" s="32">
        <v>0.75322100000000003</v>
      </c>
    </row>
    <row r="14" spans="1:5" ht="15.75" thickBot="1" x14ac:dyDescent="0.3">
      <c r="B14" s="102">
        <f t="shared" si="0"/>
        <v>14</v>
      </c>
      <c r="C14" s="25" t="s">
        <v>46</v>
      </c>
      <c r="E14" s="106">
        <f>-E12/E13</f>
        <v>165732779.51655561</v>
      </c>
    </row>
    <row r="15" spans="1:5" ht="15.75" thickTop="1" x14ac:dyDescent="0.25">
      <c r="D15" s="100" t="s">
        <v>124</v>
      </c>
      <c r="E15" s="101">
        <v>0</v>
      </c>
    </row>
    <row r="16" spans="1:5" ht="18.75" x14ac:dyDescent="0.3">
      <c r="B16" s="27" t="s">
        <v>47</v>
      </c>
      <c r="C16" s="29"/>
      <c r="D16" s="29"/>
      <c r="E16" s="29"/>
    </row>
    <row r="17" spans="2:5" s="32" customFormat="1" ht="18.75" x14ac:dyDescent="0.3">
      <c r="B17" s="30"/>
    </row>
    <row r="18" spans="2:5" ht="15.75" x14ac:dyDescent="0.25">
      <c r="B18" s="102">
        <f t="shared" ref="B18:B25" si="1">+ROW()</f>
        <v>18</v>
      </c>
      <c r="C18" s="33" t="s">
        <v>125</v>
      </c>
      <c r="D18" s="33"/>
      <c r="E18" s="33"/>
    </row>
    <row r="19" spans="2:5" x14ac:dyDescent="0.25">
      <c r="B19" s="102">
        <f t="shared" si="1"/>
        <v>19</v>
      </c>
      <c r="E19" s="35" t="s">
        <v>126</v>
      </c>
    </row>
    <row r="20" spans="2:5" x14ac:dyDescent="0.25">
      <c r="B20" s="102">
        <f t="shared" si="1"/>
        <v>20</v>
      </c>
      <c r="C20" s="25" t="s">
        <v>41</v>
      </c>
      <c r="E20" s="103" t="str">
        <f>+E9</f>
        <v>Jan-Sept 2023</v>
      </c>
    </row>
    <row r="21" spans="2:5" x14ac:dyDescent="0.25">
      <c r="B21" s="102">
        <f t="shared" si="1"/>
        <v>21</v>
      </c>
      <c r="C21" s="25" t="s">
        <v>48</v>
      </c>
      <c r="E21" s="104">
        <v>-132039226.0866732</v>
      </c>
    </row>
    <row r="22" spans="2:5" x14ac:dyDescent="0.25">
      <c r="B22" s="102">
        <f t="shared" si="1"/>
        <v>22</v>
      </c>
      <c r="C22" s="36" t="s">
        <v>43</v>
      </c>
      <c r="D22" s="37">
        <v>0.21</v>
      </c>
      <c r="E22" s="105">
        <f t="shared" ref="E22" si="2">-E21*$D22</f>
        <v>27728237.478201371</v>
      </c>
    </row>
    <row r="23" spans="2:5" x14ac:dyDescent="0.25">
      <c r="B23" s="102">
        <f t="shared" si="1"/>
        <v>23</v>
      </c>
      <c r="C23" s="36" t="s">
        <v>44</v>
      </c>
      <c r="D23" s="38"/>
      <c r="E23" s="104">
        <f t="shared" ref="E23" si="3">-E21-E22</f>
        <v>104310988.60847183</v>
      </c>
    </row>
    <row r="24" spans="2:5" x14ac:dyDescent="0.25">
      <c r="B24" s="102">
        <f t="shared" si="1"/>
        <v>24</v>
      </c>
      <c r="C24" s="25" t="s">
        <v>45</v>
      </c>
      <c r="E24" s="32">
        <v>0.75322100000000003</v>
      </c>
    </row>
    <row r="25" spans="2:5" ht="15.75" thickBot="1" x14ac:dyDescent="0.3">
      <c r="B25" s="102">
        <f t="shared" si="1"/>
        <v>25</v>
      </c>
      <c r="C25" s="25" t="s">
        <v>46</v>
      </c>
      <c r="E25" s="106">
        <f t="shared" ref="E25" si="4">-E23/E24</f>
        <v>-138486564.51223722</v>
      </c>
    </row>
    <row r="26" spans="2:5" ht="15.75" thickTop="1" x14ac:dyDescent="0.25">
      <c r="D26" s="100" t="s">
        <v>124</v>
      </c>
      <c r="E26" s="101">
        <v>0</v>
      </c>
    </row>
    <row r="27" spans="2:5" ht="18.75" x14ac:dyDescent="0.3">
      <c r="B27" s="27" t="s">
        <v>49</v>
      </c>
      <c r="C27" s="29"/>
      <c r="D27" s="29"/>
      <c r="E27" s="29"/>
    </row>
    <row r="29" spans="2:5" ht="15.75" x14ac:dyDescent="0.25">
      <c r="B29" s="102">
        <f t="shared" ref="B29:B36" si="5">+ROW()</f>
        <v>29</v>
      </c>
      <c r="C29" s="33" t="s">
        <v>127</v>
      </c>
      <c r="D29" s="33"/>
      <c r="E29" s="34"/>
    </row>
    <row r="30" spans="2:5" x14ac:dyDescent="0.25">
      <c r="B30" s="102">
        <f t="shared" si="5"/>
        <v>30</v>
      </c>
      <c r="E30" s="35" t="s">
        <v>128</v>
      </c>
    </row>
    <row r="31" spans="2:5" x14ac:dyDescent="0.25">
      <c r="B31" s="102">
        <f t="shared" si="5"/>
        <v>31</v>
      </c>
      <c r="C31" s="25" t="s">
        <v>41</v>
      </c>
      <c r="E31" s="103" t="str">
        <f>+E9</f>
        <v>Jan-Sept 2023</v>
      </c>
    </row>
    <row r="32" spans="2:5" x14ac:dyDescent="0.25">
      <c r="B32" s="102">
        <f t="shared" si="5"/>
        <v>32</v>
      </c>
      <c r="C32" s="25" t="s">
        <v>50</v>
      </c>
      <c r="E32" s="104">
        <f>+E10+E21</f>
        <v>25977748.495908499</v>
      </c>
    </row>
    <row r="33" spans="2:5" x14ac:dyDescent="0.25">
      <c r="B33" s="102">
        <f t="shared" si="5"/>
        <v>33</v>
      </c>
      <c r="C33" s="36" t="s">
        <v>43</v>
      </c>
      <c r="D33" s="37">
        <v>0.21</v>
      </c>
      <c r="E33" s="105">
        <f>-E32*$D33</f>
        <v>-5455327.1841407847</v>
      </c>
    </row>
    <row r="34" spans="2:5" x14ac:dyDescent="0.25">
      <c r="B34" s="102">
        <f t="shared" si="5"/>
        <v>34</v>
      </c>
      <c r="C34" s="36" t="s">
        <v>44</v>
      </c>
      <c r="D34" s="38"/>
      <c r="E34" s="104">
        <f>-E32-E33</f>
        <v>-20522421.311767712</v>
      </c>
    </row>
    <row r="35" spans="2:5" x14ac:dyDescent="0.25">
      <c r="B35" s="102">
        <f t="shared" si="5"/>
        <v>35</v>
      </c>
      <c r="C35" s="25" t="s">
        <v>45</v>
      </c>
      <c r="E35" s="32">
        <v>0.75322100000000003</v>
      </c>
    </row>
    <row r="36" spans="2:5" ht="15.75" thickBot="1" x14ac:dyDescent="0.3">
      <c r="B36" s="102">
        <f t="shared" si="5"/>
        <v>36</v>
      </c>
      <c r="C36" s="25" t="s">
        <v>46</v>
      </c>
      <c r="E36" s="106">
        <f>-E34/E35</f>
        <v>27246215.004318401</v>
      </c>
    </row>
    <row r="37" spans="2:5" ht="15.75" thickTop="1" x14ac:dyDescent="0.25">
      <c r="E37"/>
    </row>
    <row r="38" spans="2:5" x14ac:dyDescent="0.25">
      <c r="E38"/>
    </row>
    <row r="39" spans="2:5" x14ac:dyDescent="0.25">
      <c r="E39"/>
    </row>
    <row r="40" spans="2:5" x14ac:dyDescent="0.25">
      <c r="E40"/>
    </row>
    <row r="41" spans="2:5" x14ac:dyDescent="0.25">
      <c r="E41"/>
    </row>
  </sheetData>
  <pageMargins left="0.7" right="0.7" top="0.75" bottom="0.75" header="0.3" footer="0.3"/>
  <pageSetup orientation="portrait" horizontalDpi="90" verticalDpi="9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4"/>
  <sheetViews>
    <sheetView zoomScale="90" zoomScaleNormal="90" workbookViewId="0">
      <selection activeCell="P33" sqref="P33"/>
    </sheetView>
  </sheetViews>
  <sheetFormatPr defaultColWidth="9.140625" defaultRowHeight="15" x14ac:dyDescent="0.25"/>
  <cols>
    <col min="1" max="1" width="17.85546875" style="39" customWidth="1"/>
    <col min="2" max="4" width="11" style="39" bestFit="1" customWidth="1"/>
    <col min="5" max="6" width="12" style="39" bestFit="1" customWidth="1"/>
    <col min="7" max="13" width="12" style="39" customWidth="1"/>
    <col min="14" max="14" width="13.85546875" style="39" customWidth="1"/>
    <col min="15" max="16384" width="9.140625" style="39"/>
  </cols>
  <sheetData>
    <row r="1" spans="1:14" x14ac:dyDescent="0.25">
      <c r="A1" s="208" t="s">
        <v>0</v>
      </c>
      <c r="B1" s="208"/>
      <c r="C1" s="208"/>
      <c r="D1" s="208"/>
      <c r="E1" s="208"/>
      <c r="F1" s="208"/>
      <c r="G1" s="208"/>
      <c r="H1" s="208"/>
      <c r="I1" s="208"/>
      <c r="J1" s="208"/>
      <c r="K1" s="208"/>
      <c r="L1" s="208"/>
      <c r="M1" s="208"/>
      <c r="N1" s="208"/>
    </row>
    <row r="2" spans="1:14" x14ac:dyDescent="0.25">
      <c r="A2" s="214" t="str">
        <f>'Sch. 111 Charge Rates'!A2</f>
        <v>2023 Gas Schedule 111 Greenhouse Gas Emissions Cap and Invest Adjustment Filing</v>
      </c>
      <c r="B2" s="214"/>
      <c r="C2" s="214"/>
      <c r="D2" s="214"/>
      <c r="E2" s="214"/>
      <c r="F2" s="214"/>
      <c r="G2" s="214"/>
      <c r="H2" s="214"/>
      <c r="I2" s="214"/>
      <c r="J2" s="214"/>
      <c r="K2" s="214"/>
      <c r="L2" s="214"/>
      <c r="M2" s="214"/>
      <c r="N2" s="214"/>
    </row>
    <row r="3" spans="1:14" x14ac:dyDescent="0.25">
      <c r="A3" s="214" t="s">
        <v>246</v>
      </c>
      <c r="B3" s="214"/>
      <c r="C3" s="214"/>
      <c r="D3" s="214"/>
      <c r="E3" s="214"/>
      <c r="F3" s="214"/>
      <c r="G3" s="214"/>
      <c r="H3" s="214"/>
      <c r="I3" s="214"/>
      <c r="J3" s="214"/>
      <c r="K3" s="214"/>
      <c r="L3" s="214"/>
      <c r="M3" s="214"/>
      <c r="N3" s="214"/>
    </row>
    <row r="4" spans="1:14" x14ac:dyDescent="0.25">
      <c r="A4" s="215" t="str">
        <f>'F2023 Forecast'!A4:N4</f>
        <v>November 2023 - October 2024</v>
      </c>
      <c r="B4" s="214"/>
      <c r="C4" s="214"/>
      <c r="D4" s="214"/>
      <c r="E4" s="214"/>
      <c r="F4" s="214"/>
      <c r="G4" s="214"/>
      <c r="H4" s="214"/>
      <c r="I4" s="214"/>
      <c r="J4" s="214"/>
      <c r="K4" s="214"/>
      <c r="L4" s="214"/>
      <c r="M4" s="214"/>
      <c r="N4" s="214"/>
    </row>
    <row r="5" spans="1:14" x14ac:dyDescent="0.25">
      <c r="A5" s="40"/>
      <c r="B5" s="40"/>
      <c r="C5" s="40"/>
      <c r="D5" s="40"/>
      <c r="E5" s="40"/>
      <c r="F5" s="41"/>
      <c r="G5" s="41"/>
      <c r="H5" s="41"/>
      <c r="I5" s="41"/>
      <c r="J5" s="41"/>
      <c r="K5" s="41"/>
      <c r="L5" s="41"/>
      <c r="M5" s="41"/>
      <c r="N5" s="41"/>
    </row>
    <row r="6" spans="1:14" ht="17.25" x14ac:dyDescent="0.25">
      <c r="A6" s="89" t="s">
        <v>79</v>
      </c>
      <c r="B6" s="40"/>
      <c r="C6" s="40"/>
      <c r="D6" s="40"/>
      <c r="E6" s="40"/>
      <c r="F6" s="41"/>
      <c r="G6" s="41"/>
      <c r="H6" s="41"/>
      <c r="I6" s="41"/>
      <c r="J6" s="41"/>
      <c r="K6" s="41"/>
      <c r="L6" s="41"/>
      <c r="M6" s="41"/>
      <c r="N6" s="41"/>
    </row>
    <row r="7" spans="1:14" x14ac:dyDescent="0.25">
      <c r="A7" s="43" t="s">
        <v>52</v>
      </c>
      <c r="B7" s="44">
        <v>45231</v>
      </c>
      <c r="C7" s="45">
        <f>EDATE(B7,1)</f>
        <v>45261</v>
      </c>
      <c r="D7" s="45">
        <f t="shared" ref="D7:F7" si="0">EDATE(C7,1)</f>
        <v>45292</v>
      </c>
      <c r="E7" s="45">
        <f t="shared" si="0"/>
        <v>45323</v>
      </c>
      <c r="F7" s="45">
        <f t="shared" si="0"/>
        <v>45352</v>
      </c>
      <c r="G7" s="45">
        <f t="shared" ref="G7" si="1">EDATE(F7,1)</f>
        <v>45383</v>
      </c>
      <c r="H7" s="45">
        <f t="shared" ref="H7" si="2">EDATE(G7,1)</f>
        <v>45413</v>
      </c>
      <c r="I7" s="45">
        <f t="shared" ref="I7" si="3">EDATE(H7,1)</f>
        <v>45444</v>
      </c>
      <c r="J7" s="45">
        <f t="shared" ref="J7" si="4">EDATE(I7,1)</f>
        <v>45474</v>
      </c>
      <c r="K7" s="45">
        <f t="shared" ref="K7" si="5">EDATE(J7,1)</f>
        <v>45505</v>
      </c>
      <c r="L7" s="45">
        <f t="shared" ref="L7" si="6">EDATE(K7,1)</f>
        <v>45536</v>
      </c>
      <c r="M7" s="45">
        <f t="shared" ref="M7" si="7">EDATE(L7,1)</f>
        <v>45566</v>
      </c>
      <c r="N7" s="46" t="s">
        <v>2</v>
      </c>
    </row>
    <row r="8" spans="1:14" x14ac:dyDescent="0.25">
      <c r="A8" s="42">
        <v>16</v>
      </c>
      <c r="B8" s="47">
        <v>0</v>
      </c>
      <c r="C8" s="47">
        <v>0</v>
      </c>
      <c r="D8" s="47">
        <v>0</v>
      </c>
      <c r="E8" s="47">
        <v>0</v>
      </c>
      <c r="F8" s="47">
        <v>0</v>
      </c>
      <c r="G8" s="47">
        <v>0</v>
      </c>
      <c r="H8" s="47">
        <v>0</v>
      </c>
      <c r="I8" s="47">
        <v>0</v>
      </c>
      <c r="J8" s="47">
        <v>0</v>
      </c>
      <c r="K8" s="47">
        <v>0</v>
      </c>
      <c r="L8" s="47">
        <v>0</v>
      </c>
      <c r="M8" s="47">
        <v>0</v>
      </c>
      <c r="N8" s="48">
        <f>SUM(B8:M8)</f>
        <v>0</v>
      </c>
    </row>
    <row r="9" spans="1:14" x14ac:dyDescent="0.25">
      <c r="A9" s="42">
        <v>23</v>
      </c>
      <c r="B9" s="47">
        <v>4383936.8277347572</v>
      </c>
      <c r="C9" s="47">
        <v>8454421.1305202097</v>
      </c>
      <c r="D9" s="47">
        <v>7954045.7211932568</v>
      </c>
      <c r="E9" s="47">
        <v>8140668.8024163004</v>
      </c>
      <c r="F9" s="47">
        <v>6610394.2539434209</v>
      </c>
      <c r="G9" s="47">
        <v>3725193.4480609484</v>
      </c>
      <c r="H9" s="47">
        <v>2081023.3178793145</v>
      </c>
      <c r="I9" s="47">
        <v>1464823.5763553239</v>
      </c>
      <c r="J9" s="47">
        <v>1189011.0203726008</v>
      </c>
      <c r="K9" s="47">
        <v>1214161.7437638023</v>
      </c>
      <c r="L9" s="47">
        <v>1730330.2227481417</v>
      </c>
      <c r="M9" s="47">
        <v>5179388.6478583422</v>
      </c>
      <c r="N9" s="48">
        <f t="shared" ref="N9:N21" si="8">SUM(B9:M9)</f>
        <v>52127398.712846421</v>
      </c>
    </row>
    <row r="10" spans="1:14" x14ac:dyDescent="0.25">
      <c r="A10" s="42">
        <v>53</v>
      </c>
      <c r="B10" s="47">
        <v>0</v>
      </c>
      <c r="C10" s="47">
        <v>0</v>
      </c>
      <c r="D10" s="47">
        <v>0</v>
      </c>
      <c r="E10" s="47">
        <v>0</v>
      </c>
      <c r="F10" s="47">
        <v>0</v>
      </c>
      <c r="G10" s="47">
        <v>0</v>
      </c>
      <c r="H10" s="47">
        <v>0</v>
      </c>
      <c r="I10" s="47">
        <v>0</v>
      </c>
      <c r="J10" s="47">
        <v>0</v>
      </c>
      <c r="K10" s="47">
        <v>0</v>
      </c>
      <c r="L10" s="47">
        <v>0</v>
      </c>
      <c r="M10" s="47">
        <v>0</v>
      </c>
      <c r="N10" s="48">
        <f t="shared" si="8"/>
        <v>0</v>
      </c>
    </row>
    <row r="11" spans="1:14" x14ac:dyDescent="0.25">
      <c r="A11" s="42">
        <v>31</v>
      </c>
      <c r="B11" s="47">
        <v>0</v>
      </c>
      <c r="C11" s="47">
        <v>0</v>
      </c>
      <c r="D11" s="47">
        <v>0</v>
      </c>
      <c r="E11" s="47">
        <v>0</v>
      </c>
      <c r="F11" s="47">
        <v>0</v>
      </c>
      <c r="G11" s="47">
        <v>0</v>
      </c>
      <c r="H11" s="47">
        <v>0</v>
      </c>
      <c r="I11" s="47">
        <v>0</v>
      </c>
      <c r="J11" s="47">
        <v>0</v>
      </c>
      <c r="K11" s="47">
        <v>0</v>
      </c>
      <c r="L11" s="47">
        <v>0</v>
      </c>
      <c r="M11" s="47">
        <v>0</v>
      </c>
      <c r="N11" s="48">
        <f t="shared" si="8"/>
        <v>0</v>
      </c>
    </row>
    <row r="12" spans="1:14" x14ac:dyDescent="0.25">
      <c r="A12" s="42">
        <v>41</v>
      </c>
      <c r="B12" s="47">
        <v>0</v>
      </c>
      <c r="C12" s="47">
        <v>0</v>
      </c>
      <c r="D12" s="47">
        <v>0</v>
      </c>
      <c r="E12" s="47">
        <v>0</v>
      </c>
      <c r="F12" s="47">
        <v>0</v>
      </c>
      <c r="G12" s="47">
        <v>0</v>
      </c>
      <c r="H12" s="47">
        <v>0</v>
      </c>
      <c r="I12" s="47">
        <v>0</v>
      </c>
      <c r="J12" s="47">
        <v>0</v>
      </c>
      <c r="K12" s="47">
        <v>0</v>
      </c>
      <c r="L12" s="47">
        <v>0</v>
      </c>
      <c r="M12" s="47">
        <v>0</v>
      </c>
      <c r="N12" s="48">
        <f t="shared" si="8"/>
        <v>0</v>
      </c>
    </row>
    <row r="13" spans="1:14" x14ac:dyDescent="0.25">
      <c r="A13" s="42">
        <v>85</v>
      </c>
      <c r="B13" s="47">
        <v>0</v>
      </c>
      <c r="C13" s="47">
        <v>0</v>
      </c>
      <c r="D13" s="47">
        <v>0</v>
      </c>
      <c r="E13" s="47">
        <v>0</v>
      </c>
      <c r="F13" s="47">
        <v>0</v>
      </c>
      <c r="G13" s="47">
        <v>0</v>
      </c>
      <c r="H13" s="47">
        <v>0</v>
      </c>
      <c r="I13" s="47">
        <v>0</v>
      </c>
      <c r="J13" s="47">
        <v>0</v>
      </c>
      <c r="K13" s="47">
        <v>0</v>
      </c>
      <c r="L13" s="47">
        <v>0</v>
      </c>
      <c r="M13" s="47">
        <v>0</v>
      </c>
      <c r="N13" s="48">
        <f t="shared" si="8"/>
        <v>0</v>
      </c>
    </row>
    <row r="14" spans="1:14" x14ac:dyDescent="0.25">
      <c r="A14" s="42">
        <v>86</v>
      </c>
      <c r="B14" s="47">
        <v>0</v>
      </c>
      <c r="C14" s="47">
        <v>0</v>
      </c>
      <c r="D14" s="47">
        <v>0</v>
      </c>
      <c r="E14" s="47">
        <v>0</v>
      </c>
      <c r="F14" s="47">
        <v>0</v>
      </c>
      <c r="G14" s="47">
        <v>0</v>
      </c>
      <c r="H14" s="47">
        <v>0</v>
      </c>
      <c r="I14" s="47">
        <v>0</v>
      </c>
      <c r="J14" s="47">
        <v>0</v>
      </c>
      <c r="K14" s="47">
        <v>0</v>
      </c>
      <c r="L14" s="47">
        <v>0</v>
      </c>
      <c r="M14" s="47">
        <v>0</v>
      </c>
      <c r="N14" s="48">
        <f t="shared" si="8"/>
        <v>0</v>
      </c>
    </row>
    <row r="15" spans="1:14" x14ac:dyDescent="0.25">
      <c r="A15" s="42">
        <v>87</v>
      </c>
      <c r="B15" s="47">
        <v>0</v>
      </c>
      <c r="C15" s="47">
        <v>0</v>
      </c>
      <c r="D15" s="47">
        <v>0</v>
      </c>
      <c r="E15" s="47">
        <v>0</v>
      </c>
      <c r="F15" s="47">
        <v>0</v>
      </c>
      <c r="G15" s="47">
        <v>0</v>
      </c>
      <c r="H15" s="47">
        <v>0</v>
      </c>
      <c r="I15" s="47">
        <v>0</v>
      </c>
      <c r="J15" s="47">
        <v>0</v>
      </c>
      <c r="K15" s="47">
        <v>0</v>
      </c>
      <c r="L15" s="47">
        <v>0</v>
      </c>
      <c r="M15" s="47">
        <v>0</v>
      </c>
      <c r="N15" s="48">
        <f t="shared" si="8"/>
        <v>0</v>
      </c>
    </row>
    <row r="16" spans="1:14" x14ac:dyDescent="0.25">
      <c r="A16" s="42" t="s">
        <v>27</v>
      </c>
      <c r="B16" s="47">
        <v>0</v>
      </c>
      <c r="C16" s="47">
        <v>0</v>
      </c>
      <c r="D16" s="47">
        <v>0</v>
      </c>
      <c r="E16" s="47">
        <v>0</v>
      </c>
      <c r="F16" s="47">
        <v>0</v>
      </c>
      <c r="G16" s="47">
        <v>0</v>
      </c>
      <c r="H16" s="47">
        <v>0</v>
      </c>
      <c r="I16" s="47">
        <v>0</v>
      </c>
      <c r="J16" s="47">
        <v>0</v>
      </c>
      <c r="K16" s="47">
        <v>0</v>
      </c>
      <c r="L16" s="47">
        <v>0</v>
      </c>
      <c r="M16" s="47">
        <v>0</v>
      </c>
      <c r="N16" s="48">
        <f t="shared" si="8"/>
        <v>0</v>
      </c>
    </row>
    <row r="17" spans="1:14" x14ac:dyDescent="0.25">
      <c r="A17" s="42" t="s">
        <v>29</v>
      </c>
      <c r="B17" s="47">
        <v>0</v>
      </c>
      <c r="C17" s="47">
        <v>0</v>
      </c>
      <c r="D17" s="47">
        <v>0</v>
      </c>
      <c r="E17" s="47">
        <v>0</v>
      </c>
      <c r="F17" s="47">
        <v>0</v>
      </c>
      <c r="G17" s="47">
        <v>0</v>
      </c>
      <c r="H17" s="47">
        <v>0</v>
      </c>
      <c r="I17" s="47">
        <v>0</v>
      </c>
      <c r="J17" s="47">
        <v>0</v>
      </c>
      <c r="K17" s="47">
        <v>0</v>
      </c>
      <c r="L17" s="47">
        <v>0</v>
      </c>
      <c r="M17" s="47">
        <v>0</v>
      </c>
      <c r="N17" s="48">
        <f t="shared" si="8"/>
        <v>0</v>
      </c>
    </row>
    <row r="18" spans="1:14" x14ac:dyDescent="0.25">
      <c r="A18" s="42" t="s">
        <v>31</v>
      </c>
      <c r="B18" s="47">
        <v>0</v>
      </c>
      <c r="C18" s="47">
        <v>0</v>
      </c>
      <c r="D18" s="47">
        <v>0</v>
      </c>
      <c r="E18" s="47">
        <v>0</v>
      </c>
      <c r="F18" s="47">
        <v>0</v>
      </c>
      <c r="G18" s="47">
        <v>0</v>
      </c>
      <c r="H18" s="47">
        <v>0</v>
      </c>
      <c r="I18" s="47">
        <v>0</v>
      </c>
      <c r="J18" s="47">
        <v>0</v>
      </c>
      <c r="K18" s="47">
        <v>0</v>
      </c>
      <c r="L18" s="47">
        <v>0</v>
      </c>
      <c r="M18" s="47">
        <v>0</v>
      </c>
      <c r="N18" s="48">
        <f t="shared" si="8"/>
        <v>0</v>
      </c>
    </row>
    <row r="19" spans="1:14" x14ac:dyDescent="0.25">
      <c r="A19" s="42" t="s">
        <v>33</v>
      </c>
      <c r="B19" s="47">
        <v>0</v>
      </c>
      <c r="C19" s="47">
        <v>0</v>
      </c>
      <c r="D19" s="47">
        <v>0</v>
      </c>
      <c r="E19" s="47">
        <v>0</v>
      </c>
      <c r="F19" s="47">
        <v>0</v>
      </c>
      <c r="G19" s="47">
        <v>0</v>
      </c>
      <c r="H19" s="47">
        <v>0</v>
      </c>
      <c r="I19" s="47">
        <v>0</v>
      </c>
      <c r="J19" s="47">
        <v>0</v>
      </c>
      <c r="K19" s="47">
        <v>0</v>
      </c>
      <c r="L19" s="47">
        <v>0</v>
      </c>
      <c r="M19" s="47">
        <v>0</v>
      </c>
      <c r="N19" s="48">
        <f t="shared" si="8"/>
        <v>0</v>
      </c>
    </row>
    <row r="20" spans="1:14" x14ac:dyDescent="0.25">
      <c r="A20" s="42" t="s">
        <v>35</v>
      </c>
      <c r="B20" s="47">
        <v>0</v>
      </c>
      <c r="C20" s="47">
        <v>0</v>
      </c>
      <c r="D20" s="47">
        <v>0</v>
      </c>
      <c r="E20" s="47">
        <v>0</v>
      </c>
      <c r="F20" s="47">
        <v>0</v>
      </c>
      <c r="G20" s="47">
        <v>0</v>
      </c>
      <c r="H20" s="47">
        <v>0</v>
      </c>
      <c r="I20" s="47">
        <v>0</v>
      </c>
      <c r="J20" s="47">
        <v>0</v>
      </c>
      <c r="K20" s="47">
        <v>0</v>
      </c>
      <c r="L20" s="47">
        <v>0</v>
      </c>
      <c r="M20" s="47">
        <v>0</v>
      </c>
      <c r="N20" s="48">
        <f t="shared" si="8"/>
        <v>0</v>
      </c>
    </row>
    <row r="21" spans="1:14" x14ac:dyDescent="0.25">
      <c r="A21" s="49" t="s">
        <v>36</v>
      </c>
      <c r="B21" s="47">
        <v>0</v>
      </c>
      <c r="C21" s="47">
        <v>0</v>
      </c>
      <c r="D21" s="47">
        <v>0</v>
      </c>
      <c r="E21" s="47">
        <v>0</v>
      </c>
      <c r="F21" s="47">
        <v>0</v>
      </c>
      <c r="G21" s="47">
        <v>0</v>
      </c>
      <c r="H21" s="47">
        <v>0</v>
      </c>
      <c r="I21" s="47">
        <v>0</v>
      </c>
      <c r="J21" s="47">
        <v>0</v>
      </c>
      <c r="K21" s="47">
        <v>0</v>
      </c>
      <c r="L21" s="47">
        <v>0</v>
      </c>
      <c r="M21" s="47">
        <v>0</v>
      </c>
      <c r="N21" s="48">
        <f t="shared" si="8"/>
        <v>0</v>
      </c>
    </row>
    <row r="22" spans="1:14" x14ac:dyDescent="0.25">
      <c r="A22" s="50" t="s">
        <v>2</v>
      </c>
      <c r="B22" s="51">
        <f>SUM(B8:B21)</f>
        <v>4383936.8277347572</v>
      </c>
      <c r="C22" s="51">
        <f t="shared" ref="C22:N22" si="9">SUM(C8:C21)</f>
        <v>8454421.1305202097</v>
      </c>
      <c r="D22" s="51">
        <f t="shared" si="9"/>
        <v>7954045.7211932568</v>
      </c>
      <c r="E22" s="51">
        <f t="shared" si="9"/>
        <v>8140668.8024163004</v>
      </c>
      <c r="F22" s="51">
        <f t="shared" si="9"/>
        <v>6610394.2539434209</v>
      </c>
      <c r="G22" s="51">
        <f t="shared" si="9"/>
        <v>3725193.4480609484</v>
      </c>
      <c r="H22" s="51">
        <f t="shared" si="9"/>
        <v>2081023.3178793145</v>
      </c>
      <c r="I22" s="51">
        <f t="shared" si="9"/>
        <v>1464823.5763553239</v>
      </c>
      <c r="J22" s="51">
        <f t="shared" si="9"/>
        <v>1189011.0203726008</v>
      </c>
      <c r="K22" s="51">
        <f t="shared" si="9"/>
        <v>1214161.7437638023</v>
      </c>
      <c r="L22" s="51">
        <f t="shared" si="9"/>
        <v>1730330.2227481417</v>
      </c>
      <c r="M22" s="51">
        <f t="shared" si="9"/>
        <v>5179388.6478583422</v>
      </c>
      <c r="N22" s="51">
        <f t="shared" si="9"/>
        <v>52127398.712846421</v>
      </c>
    </row>
    <row r="23" spans="1:14" x14ac:dyDescent="0.25">
      <c r="A23" s="50"/>
      <c r="B23" s="52"/>
      <c r="C23" s="52"/>
      <c r="D23" s="52"/>
      <c r="E23" s="52"/>
      <c r="F23" s="52"/>
      <c r="G23" s="52"/>
      <c r="H23" s="52"/>
      <c r="I23" s="52"/>
      <c r="J23" s="52"/>
      <c r="K23" s="52"/>
      <c r="L23" s="52"/>
      <c r="M23" s="52"/>
      <c r="N23" s="52"/>
    </row>
    <row r="24" spans="1:14" ht="17.25" x14ac:dyDescent="0.25">
      <c r="A24" s="53" t="s">
        <v>245</v>
      </c>
    </row>
    <row r="25" spans="1:14" x14ac:dyDescent="0.25">
      <c r="A25" s="43" t="s">
        <v>52</v>
      </c>
      <c r="B25" s="45">
        <f>B7</f>
        <v>45231</v>
      </c>
      <c r="C25" s="45">
        <f t="shared" ref="C25:M25" si="10">C7</f>
        <v>45261</v>
      </c>
      <c r="D25" s="45">
        <f t="shared" si="10"/>
        <v>45292</v>
      </c>
      <c r="E25" s="45">
        <f t="shared" si="10"/>
        <v>45323</v>
      </c>
      <c r="F25" s="45">
        <f t="shared" si="10"/>
        <v>45352</v>
      </c>
      <c r="G25" s="45">
        <f t="shared" si="10"/>
        <v>45383</v>
      </c>
      <c r="H25" s="45">
        <f t="shared" si="10"/>
        <v>45413</v>
      </c>
      <c r="I25" s="45">
        <f t="shared" si="10"/>
        <v>45444</v>
      </c>
      <c r="J25" s="45">
        <f t="shared" si="10"/>
        <v>45474</v>
      </c>
      <c r="K25" s="45">
        <f t="shared" si="10"/>
        <v>45505</v>
      </c>
      <c r="L25" s="45">
        <f t="shared" si="10"/>
        <v>45536</v>
      </c>
      <c r="M25" s="45">
        <f t="shared" si="10"/>
        <v>45566</v>
      </c>
      <c r="N25" s="46" t="s">
        <v>2</v>
      </c>
    </row>
    <row r="26" spans="1:14" x14ac:dyDescent="0.25">
      <c r="A26" s="42">
        <v>16</v>
      </c>
      <c r="B26" s="47">
        <v>0</v>
      </c>
      <c r="C26" s="47">
        <v>0</v>
      </c>
      <c r="D26" s="47">
        <v>0</v>
      </c>
      <c r="E26" s="47">
        <v>0</v>
      </c>
      <c r="F26" s="47">
        <v>0</v>
      </c>
      <c r="G26" s="47">
        <v>0</v>
      </c>
      <c r="H26" s="47">
        <v>0</v>
      </c>
      <c r="I26" s="47">
        <v>0</v>
      </c>
      <c r="J26" s="47">
        <v>0</v>
      </c>
      <c r="K26" s="47">
        <v>0</v>
      </c>
      <c r="L26" s="47">
        <v>0</v>
      </c>
      <c r="M26" s="47">
        <v>0</v>
      </c>
      <c r="N26" s="48">
        <f>SUM(B26:M26)</f>
        <v>0</v>
      </c>
    </row>
    <row r="27" spans="1:14" x14ac:dyDescent="0.25">
      <c r="A27" s="42">
        <v>23</v>
      </c>
      <c r="B27" s="47">
        <v>38670.609133385129</v>
      </c>
      <c r="C27" s="47">
        <v>70011.283992434226</v>
      </c>
      <c r="D27" s="47">
        <v>70594.711359037858</v>
      </c>
      <c r="E27" s="47">
        <v>71183.000620363164</v>
      </c>
      <c r="F27" s="47">
        <v>71776.192292199514</v>
      </c>
      <c r="G27" s="47">
        <v>72374.327227967849</v>
      </c>
      <c r="H27" s="47">
        <v>72977.44662153424</v>
      </c>
      <c r="I27" s="47">
        <v>73585.592010047025</v>
      </c>
      <c r="J27" s="47">
        <v>74198.8052767974</v>
      </c>
      <c r="K27" s="47">
        <v>74817.128654104046</v>
      </c>
      <c r="L27" s="47">
        <v>75440.604726221587</v>
      </c>
      <c r="M27" s="47">
        <v>76069.276432273415</v>
      </c>
      <c r="N27" s="48">
        <f t="shared" ref="N27:N39" si="11">SUM(B27:M27)</f>
        <v>841698.9783463655</v>
      </c>
    </row>
    <row r="28" spans="1:14" x14ac:dyDescent="0.25">
      <c r="A28" s="42">
        <v>53</v>
      </c>
      <c r="B28" s="47">
        <v>0</v>
      </c>
      <c r="C28" s="47">
        <v>0</v>
      </c>
      <c r="D28" s="47">
        <v>0</v>
      </c>
      <c r="E28" s="47">
        <v>0</v>
      </c>
      <c r="F28" s="47">
        <v>0</v>
      </c>
      <c r="G28" s="47">
        <v>0</v>
      </c>
      <c r="H28" s="47">
        <v>0</v>
      </c>
      <c r="I28" s="47">
        <v>0</v>
      </c>
      <c r="J28" s="47">
        <v>0</v>
      </c>
      <c r="K28" s="47">
        <v>0</v>
      </c>
      <c r="L28" s="47">
        <v>0</v>
      </c>
      <c r="M28" s="47">
        <v>0</v>
      </c>
      <c r="N28" s="48">
        <f t="shared" si="11"/>
        <v>0</v>
      </c>
    </row>
    <row r="29" spans="1:14" x14ac:dyDescent="0.25">
      <c r="A29" s="42">
        <v>31</v>
      </c>
      <c r="B29" s="47">
        <v>0</v>
      </c>
      <c r="C29" s="47">
        <v>0</v>
      </c>
      <c r="D29" s="47">
        <v>0</v>
      </c>
      <c r="E29" s="47">
        <v>0</v>
      </c>
      <c r="F29" s="47">
        <v>0</v>
      </c>
      <c r="G29" s="47">
        <v>0</v>
      </c>
      <c r="H29" s="47">
        <v>0</v>
      </c>
      <c r="I29" s="47">
        <v>0</v>
      </c>
      <c r="J29" s="47">
        <v>0</v>
      </c>
      <c r="K29" s="47">
        <v>0</v>
      </c>
      <c r="L29" s="47">
        <v>0</v>
      </c>
      <c r="M29" s="47">
        <v>0</v>
      </c>
      <c r="N29" s="48">
        <f t="shared" si="11"/>
        <v>0</v>
      </c>
    </row>
    <row r="30" spans="1:14" x14ac:dyDescent="0.25">
      <c r="A30" s="42">
        <v>41</v>
      </c>
      <c r="B30" s="47">
        <v>0</v>
      </c>
      <c r="C30" s="47">
        <v>0</v>
      </c>
      <c r="D30" s="47">
        <v>0</v>
      </c>
      <c r="E30" s="47">
        <v>0</v>
      </c>
      <c r="F30" s="47">
        <v>0</v>
      </c>
      <c r="G30" s="47">
        <v>0</v>
      </c>
      <c r="H30" s="47">
        <v>0</v>
      </c>
      <c r="I30" s="47">
        <v>0</v>
      </c>
      <c r="J30" s="47">
        <v>0</v>
      </c>
      <c r="K30" s="47">
        <v>0</v>
      </c>
      <c r="L30" s="47">
        <v>0</v>
      </c>
      <c r="M30" s="47">
        <v>0</v>
      </c>
      <c r="N30" s="48">
        <f t="shared" si="11"/>
        <v>0</v>
      </c>
    </row>
    <row r="31" spans="1:14" x14ac:dyDescent="0.25">
      <c r="A31" s="42">
        <v>85</v>
      </c>
      <c r="B31" s="47">
        <v>0</v>
      </c>
      <c r="C31" s="47">
        <v>0</v>
      </c>
      <c r="D31" s="47">
        <v>0</v>
      </c>
      <c r="E31" s="47">
        <v>0</v>
      </c>
      <c r="F31" s="47">
        <v>0</v>
      </c>
      <c r="G31" s="47">
        <v>0</v>
      </c>
      <c r="H31" s="47">
        <v>0</v>
      </c>
      <c r="I31" s="47">
        <v>0</v>
      </c>
      <c r="J31" s="47">
        <v>0</v>
      </c>
      <c r="K31" s="47">
        <v>0</v>
      </c>
      <c r="L31" s="47">
        <v>0</v>
      </c>
      <c r="M31" s="47">
        <v>0</v>
      </c>
      <c r="N31" s="48">
        <f t="shared" si="11"/>
        <v>0</v>
      </c>
    </row>
    <row r="32" spans="1:14" x14ac:dyDescent="0.25">
      <c r="A32" s="42">
        <v>86</v>
      </c>
      <c r="B32" s="47">
        <v>0</v>
      </c>
      <c r="C32" s="47">
        <v>0</v>
      </c>
      <c r="D32" s="47">
        <v>0</v>
      </c>
      <c r="E32" s="47">
        <v>0</v>
      </c>
      <c r="F32" s="47">
        <v>0</v>
      </c>
      <c r="G32" s="47">
        <v>0</v>
      </c>
      <c r="H32" s="47">
        <v>0</v>
      </c>
      <c r="I32" s="47">
        <v>0</v>
      </c>
      <c r="J32" s="47">
        <v>0</v>
      </c>
      <c r="K32" s="47">
        <v>0</v>
      </c>
      <c r="L32" s="47">
        <v>0</v>
      </c>
      <c r="M32" s="47">
        <v>0</v>
      </c>
      <c r="N32" s="48">
        <f t="shared" si="11"/>
        <v>0</v>
      </c>
    </row>
    <row r="33" spans="1:14" x14ac:dyDescent="0.25">
      <c r="A33" s="42">
        <v>87</v>
      </c>
      <c r="B33" s="47">
        <v>0</v>
      </c>
      <c r="C33" s="47">
        <v>0</v>
      </c>
      <c r="D33" s="47">
        <v>0</v>
      </c>
      <c r="E33" s="47">
        <v>0</v>
      </c>
      <c r="F33" s="47">
        <v>0</v>
      </c>
      <c r="G33" s="47">
        <v>0</v>
      </c>
      <c r="H33" s="47">
        <v>0</v>
      </c>
      <c r="I33" s="47">
        <v>0</v>
      </c>
      <c r="J33" s="47">
        <v>0</v>
      </c>
      <c r="K33" s="47">
        <v>0</v>
      </c>
      <c r="L33" s="47">
        <v>0</v>
      </c>
      <c r="M33" s="47">
        <v>0</v>
      </c>
      <c r="N33" s="48">
        <f t="shared" si="11"/>
        <v>0</v>
      </c>
    </row>
    <row r="34" spans="1:14" x14ac:dyDescent="0.25">
      <c r="A34" s="42" t="s">
        <v>27</v>
      </c>
      <c r="B34" s="47">
        <v>0</v>
      </c>
      <c r="C34" s="47">
        <v>0</v>
      </c>
      <c r="D34" s="47">
        <v>0</v>
      </c>
      <c r="E34" s="47">
        <v>0</v>
      </c>
      <c r="F34" s="47">
        <v>0</v>
      </c>
      <c r="G34" s="47">
        <v>0</v>
      </c>
      <c r="H34" s="47">
        <v>0</v>
      </c>
      <c r="I34" s="47">
        <v>0</v>
      </c>
      <c r="J34" s="47">
        <v>0</v>
      </c>
      <c r="K34" s="47">
        <v>0</v>
      </c>
      <c r="L34" s="47">
        <v>0</v>
      </c>
      <c r="M34" s="47">
        <v>0</v>
      </c>
      <c r="N34" s="48">
        <f t="shared" si="11"/>
        <v>0</v>
      </c>
    </row>
    <row r="35" spans="1:14" x14ac:dyDescent="0.25">
      <c r="A35" s="42" t="s">
        <v>29</v>
      </c>
      <c r="B35" s="47">
        <v>0</v>
      </c>
      <c r="C35" s="47">
        <v>0</v>
      </c>
      <c r="D35" s="47">
        <v>0</v>
      </c>
      <c r="E35" s="47">
        <v>0</v>
      </c>
      <c r="F35" s="47">
        <v>0</v>
      </c>
      <c r="G35" s="47">
        <v>0</v>
      </c>
      <c r="H35" s="47">
        <v>0</v>
      </c>
      <c r="I35" s="47">
        <v>0</v>
      </c>
      <c r="J35" s="47">
        <v>0</v>
      </c>
      <c r="K35" s="47">
        <v>0</v>
      </c>
      <c r="L35" s="47">
        <v>0</v>
      </c>
      <c r="M35" s="47">
        <v>0</v>
      </c>
      <c r="N35" s="48">
        <f t="shared" si="11"/>
        <v>0</v>
      </c>
    </row>
    <row r="36" spans="1:14" x14ac:dyDescent="0.25">
      <c r="A36" s="42" t="s">
        <v>31</v>
      </c>
      <c r="B36" s="47">
        <v>0</v>
      </c>
      <c r="C36" s="47">
        <v>0</v>
      </c>
      <c r="D36" s="47">
        <v>0</v>
      </c>
      <c r="E36" s="47">
        <v>0</v>
      </c>
      <c r="F36" s="47">
        <v>0</v>
      </c>
      <c r="G36" s="47">
        <v>0</v>
      </c>
      <c r="H36" s="47">
        <v>0</v>
      </c>
      <c r="I36" s="47">
        <v>0</v>
      </c>
      <c r="J36" s="47">
        <v>0</v>
      </c>
      <c r="K36" s="47">
        <v>0</v>
      </c>
      <c r="L36" s="47">
        <v>0</v>
      </c>
      <c r="M36" s="47">
        <v>0</v>
      </c>
      <c r="N36" s="48">
        <f t="shared" si="11"/>
        <v>0</v>
      </c>
    </row>
    <row r="37" spans="1:14" x14ac:dyDescent="0.25">
      <c r="A37" s="42" t="s">
        <v>33</v>
      </c>
      <c r="B37" s="47">
        <v>0</v>
      </c>
      <c r="C37" s="47">
        <v>0</v>
      </c>
      <c r="D37" s="47">
        <v>0</v>
      </c>
      <c r="E37" s="47">
        <v>0</v>
      </c>
      <c r="F37" s="47">
        <v>0</v>
      </c>
      <c r="G37" s="47">
        <v>0</v>
      </c>
      <c r="H37" s="47">
        <v>0</v>
      </c>
      <c r="I37" s="47">
        <v>0</v>
      </c>
      <c r="J37" s="47">
        <v>0</v>
      </c>
      <c r="K37" s="47">
        <v>0</v>
      </c>
      <c r="L37" s="47">
        <v>0</v>
      </c>
      <c r="M37" s="47">
        <v>0</v>
      </c>
      <c r="N37" s="48">
        <f t="shared" si="11"/>
        <v>0</v>
      </c>
    </row>
    <row r="38" spans="1:14" x14ac:dyDescent="0.25">
      <c r="A38" s="42" t="s">
        <v>35</v>
      </c>
      <c r="B38" s="47">
        <v>0</v>
      </c>
      <c r="C38" s="47">
        <v>0</v>
      </c>
      <c r="D38" s="47">
        <v>0</v>
      </c>
      <c r="E38" s="47">
        <v>0</v>
      </c>
      <c r="F38" s="47">
        <v>0</v>
      </c>
      <c r="G38" s="47">
        <v>0</v>
      </c>
      <c r="H38" s="47">
        <v>0</v>
      </c>
      <c r="I38" s="47">
        <v>0</v>
      </c>
      <c r="J38" s="47">
        <v>0</v>
      </c>
      <c r="K38" s="47">
        <v>0</v>
      </c>
      <c r="L38" s="47">
        <v>0</v>
      </c>
      <c r="M38" s="47">
        <v>0</v>
      </c>
      <c r="N38" s="48">
        <f t="shared" si="11"/>
        <v>0</v>
      </c>
    </row>
    <row r="39" spans="1:14" x14ac:dyDescent="0.25">
      <c r="A39" s="49" t="s">
        <v>36</v>
      </c>
      <c r="B39" s="47">
        <v>0</v>
      </c>
      <c r="C39" s="47">
        <v>0</v>
      </c>
      <c r="D39" s="47">
        <v>0</v>
      </c>
      <c r="E39" s="47">
        <v>0</v>
      </c>
      <c r="F39" s="47">
        <v>0</v>
      </c>
      <c r="G39" s="47">
        <v>0</v>
      </c>
      <c r="H39" s="47">
        <v>0</v>
      </c>
      <c r="I39" s="47">
        <v>0</v>
      </c>
      <c r="J39" s="47">
        <v>0</v>
      </c>
      <c r="K39" s="47">
        <v>0</v>
      </c>
      <c r="L39" s="47">
        <v>0</v>
      </c>
      <c r="M39" s="47">
        <v>0</v>
      </c>
      <c r="N39" s="48">
        <f t="shared" si="11"/>
        <v>0</v>
      </c>
    </row>
    <row r="40" spans="1:14" x14ac:dyDescent="0.25">
      <c r="A40" s="50" t="s">
        <v>2</v>
      </c>
      <c r="B40" s="51">
        <f>SUM(B26:B39)</f>
        <v>38670.609133385129</v>
      </c>
      <c r="C40" s="51">
        <f t="shared" ref="C40:N40" si="12">SUM(C26:C39)</f>
        <v>70011.283992434226</v>
      </c>
      <c r="D40" s="51">
        <f t="shared" si="12"/>
        <v>70594.711359037858</v>
      </c>
      <c r="E40" s="51">
        <f t="shared" si="12"/>
        <v>71183.000620363164</v>
      </c>
      <c r="F40" s="51">
        <f t="shared" si="12"/>
        <v>71776.192292199514</v>
      </c>
      <c r="G40" s="51">
        <f t="shared" si="12"/>
        <v>72374.327227967849</v>
      </c>
      <c r="H40" s="51">
        <f t="shared" si="12"/>
        <v>72977.44662153424</v>
      </c>
      <c r="I40" s="51">
        <f t="shared" si="12"/>
        <v>73585.592010047025</v>
      </c>
      <c r="J40" s="51">
        <f t="shared" si="12"/>
        <v>74198.8052767974</v>
      </c>
      <c r="K40" s="51">
        <f t="shared" si="12"/>
        <v>74817.128654104046</v>
      </c>
      <c r="L40" s="51">
        <f t="shared" si="12"/>
        <v>75440.604726221587</v>
      </c>
      <c r="M40" s="51">
        <f t="shared" si="12"/>
        <v>76069.276432273415</v>
      </c>
      <c r="N40" s="51">
        <f t="shared" si="12"/>
        <v>841698.9783463655</v>
      </c>
    </row>
    <row r="41" spans="1:14" x14ac:dyDescent="0.25">
      <c r="A41" s="50"/>
      <c r="B41" s="190"/>
      <c r="C41" s="190"/>
      <c r="D41" s="190"/>
      <c r="E41" s="190"/>
      <c r="F41" s="190"/>
      <c r="G41" s="190"/>
      <c r="H41" s="190"/>
      <c r="I41" s="190"/>
      <c r="J41" s="190"/>
      <c r="K41" s="190"/>
      <c r="L41" s="190"/>
      <c r="M41" s="190"/>
      <c r="N41" s="190"/>
    </row>
    <row r="42" spans="1:14" x14ac:dyDescent="0.25">
      <c r="A42" s="211" t="s">
        <v>103</v>
      </c>
      <c r="B42" s="211"/>
      <c r="C42" s="211"/>
      <c r="D42" s="211"/>
      <c r="E42" s="211"/>
      <c r="F42" s="211"/>
      <c r="G42" s="211"/>
      <c r="H42" s="211"/>
      <c r="I42" s="211"/>
      <c r="J42" s="211"/>
      <c r="K42" s="211"/>
      <c r="L42" s="211"/>
      <c r="M42" s="211"/>
      <c r="N42" s="211"/>
    </row>
    <row r="43" spans="1:14" x14ac:dyDescent="0.25">
      <c r="A43" s="211"/>
      <c r="B43" s="211"/>
      <c r="C43" s="211"/>
      <c r="D43" s="211"/>
      <c r="E43" s="211"/>
      <c r="F43" s="211"/>
      <c r="G43" s="211"/>
      <c r="H43" s="211"/>
      <c r="I43" s="211"/>
      <c r="J43" s="211"/>
      <c r="K43" s="211"/>
      <c r="L43" s="211"/>
      <c r="M43" s="211"/>
      <c r="N43" s="211"/>
    </row>
    <row r="44" spans="1:14" x14ac:dyDescent="0.25">
      <c r="A44" s="211"/>
      <c r="B44" s="211"/>
      <c r="C44" s="211"/>
      <c r="D44" s="211"/>
      <c r="E44" s="211"/>
      <c r="F44" s="211"/>
      <c r="G44" s="211"/>
      <c r="H44" s="211"/>
      <c r="I44" s="211"/>
      <c r="J44" s="211"/>
      <c r="K44" s="211"/>
      <c r="L44" s="211"/>
      <c r="M44" s="211"/>
      <c r="N44" s="211"/>
    </row>
  </sheetData>
  <mergeCells count="5">
    <mergeCell ref="A1:N1"/>
    <mergeCell ref="A2:N2"/>
    <mergeCell ref="A3:N3"/>
    <mergeCell ref="A4:N4"/>
    <mergeCell ref="A42:N44"/>
  </mergeCells>
  <printOptions horizontalCentered="1"/>
  <pageMargins left="0.7" right="0.7" top="0.75" bottom="0.75" header="0.3" footer="0.3"/>
  <pageSetup scale="70" orientation="landscape" blackAndWhite="1" r:id="rId1"/>
  <headerFooter>
    <oddFooter>&amp;L&amp;F 
&amp;A&amp;C&amp;P&amp;R&amp;D</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9"/>
  <sheetViews>
    <sheetView zoomScale="90" zoomScaleNormal="90" workbookViewId="0">
      <pane ySplit="4" topLeftCell="A65" activePane="bottomLeft" state="frozen"/>
      <selection activeCell="N9" sqref="N9"/>
      <selection pane="bottomLeft" activeCell="N101" sqref="N101"/>
    </sheetView>
  </sheetViews>
  <sheetFormatPr defaultColWidth="9.140625" defaultRowHeight="15" x14ac:dyDescent="0.25"/>
  <cols>
    <col min="1" max="1" width="17.85546875" style="39" customWidth="1"/>
    <col min="2" max="6" width="12" style="39" bestFit="1" customWidth="1"/>
    <col min="7" max="13" width="12" style="39" customWidth="1"/>
    <col min="14" max="14" width="13.85546875" style="39" customWidth="1"/>
    <col min="15" max="16384" width="9.140625" style="39"/>
  </cols>
  <sheetData>
    <row r="1" spans="1:14" x14ac:dyDescent="0.25">
      <c r="A1" s="208" t="s">
        <v>0</v>
      </c>
      <c r="B1" s="208"/>
      <c r="C1" s="208"/>
      <c r="D1" s="208"/>
      <c r="E1" s="208"/>
      <c r="F1" s="208"/>
      <c r="G1" s="208"/>
      <c r="H1" s="208"/>
      <c r="I1" s="208"/>
      <c r="J1" s="208"/>
      <c r="K1" s="208"/>
      <c r="L1" s="208"/>
      <c r="M1" s="208"/>
      <c r="N1" s="208"/>
    </row>
    <row r="2" spans="1:14" x14ac:dyDescent="0.25">
      <c r="A2" s="214" t="str">
        <f>'Sch. 111 Charge Rates'!A2</f>
        <v>2023 Gas Schedule 111 Greenhouse Gas Emissions Cap and Invest Adjustment Filing</v>
      </c>
      <c r="B2" s="214"/>
      <c r="C2" s="214"/>
      <c r="D2" s="214"/>
      <c r="E2" s="214"/>
      <c r="F2" s="214"/>
      <c r="G2" s="214"/>
      <c r="H2" s="214"/>
      <c r="I2" s="214"/>
      <c r="J2" s="214"/>
      <c r="K2" s="214"/>
      <c r="L2" s="214"/>
      <c r="M2" s="214"/>
      <c r="N2" s="214"/>
    </row>
    <row r="3" spans="1:14" x14ac:dyDescent="0.25">
      <c r="A3" s="214" t="s">
        <v>55</v>
      </c>
      <c r="B3" s="214"/>
      <c r="C3" s="214"/>
      <c r="D3" s="214"/>
      <c r="E3" s="214"/>
      <c r="F3" s="214"/>
      <c r="G3" s="214"/>
      <c r="H3" s="214"/>
      <c r="I3" s="214"/>
      <c r="J3" s="214"/>
      <c r="K3" s="214"/>
      <c r="L3" s="214"/>
      <c r="M3" s="214"/>
      <c r="N3" s="214"/>
    </row>
    <row r="4" spans="1:14" x14ac:dyDescent="0.25">
      <c r="A4" s="215" t="str">
        <f>'F2023 Forecast'!A4:N4</f>
        <v>November 2023 - October 2024</v>
      </c>
      <c r="B4" s="214"/>
      <c r="C4" s="214"/>
      <c r="D4" s="214"/>
      <c r="E4" s="214"/>
      <c r="F4" s="214"/>
      <c r="G4" s="214"/>
      <c r="H4" s="214"/>
      <c r="I4" s="214"/>
      <c r="J4" s="214"/>
      <c r="K4" s="214"/>
      <c r="L4" s="214"/>
      <c r="M4" s="214"/>
      <c r="N4" s="214"/>
    </row>
    <row r="5" spans="1:14" x14ac:dyDescent="0.25">
      <c r="A5" s="40"/>
      <c r="B5" s="40"/>
      <c r="C5" s="40"/>
      <c r="D5" s="40"/>
      <c r="E5" s="40"/>
      <c r="F5" s="41"/>
      <c r="G5" s="41"/>
      <c r="H5" s="41"/>
      <c r="I5" s="41"/>
      <c r="J5" s="41"/>
      <c r="K5" s="41"/>
      <c r="L5" s="41"/>
      <c r="M5" s="41"/>
      <c r="N5" s="41"/>
    </row>
    <row r="6" spans="1:14" x14ac:dyDescent="0.25">
      <c r="A6" s="93" t="s">
        <v>102</v>
      </c>
      <c r="B6" s="40"/>
      <c r="C6" s="40"/>
      <c r="D6" s="40"/>
      <c r="E6" s="40"/>
      <c r="F6" s="41"/>
      <c r="G6" s="41"/>
      <c r="H6" s="41"/>
      <c r="I6" s="41"/>
      <c r="J6" s="41"/>
      <c r="K6" s="41"/>
      <c r="L6" s="41"/>
      <c r="M6" s="41"/>
      <c r="N6" s="41"/>
    </row>
    <row r="7" spans="1:14" x14ac:dyDescent="0.25">
      <c r="A7" s="43" t="s">
        <v>52</v>
      </c>
      <c r="B7" s="44">
        <v>45231</v>
      </c>
      <c r="C7" s="45">
        <f>EDATE(B7,1)</f>
        <v>45261</v>
      </c>
      <c r="D7" s="45">
        <f t="shared" ref="D7:F7" si="0">EDATE(C7,1)</f>
        <v>45292</v>
      </c>
      <c r="E7" s="45">
        <f t="shared" si="0"/>
        <v>45323</v>
      </c>
      <c r="F7" s="45">
        <f t="shared" si="0"/>
        <v>45352</v>
      </c>
      <c r="G7" s="45">
        <f t="shared" ref="G7" si="1">EDATE(F7,1)</f>
        <v>45383</v>
      </c>
      <c r="H7" s="45">
        <f t="shared" ref="H7" si="2">EDATE(G7,1)</f>
        <v>45413</v>
      </c>
      <c r="I7" s="45">
        <f t="shared" ref="I7" si="3">EDATE(H7,1)</f>
        <v>45444</v>
      </c>
      <c r="J7" s="45">
        <f t="shared" ref="J7" si="4">EDATE(I7,1)</f>
        <v>45474</v>
      </c>
      <c r="K7" s="45">
        <f t="shared" ref="K7" si="5">EDATE(J7,1)</f>
        <v>45505</v>
      </c>
      <c r="L7" s="45">
        <f t="shared" ref="L7" si="6">EDATE(K7,1)</f>
        <v>45536</v>
      </c>
      <c r="M7" s="45">
        <f t="shared" ref="M7" si="7">EDATE(L7,1)</f>
        <v>45566</v>
      </c>
      <c r="N7" s="46" t="s">
        <v>2</v>
      </c>
    </row>
    <row r="8" spans="1:14" x14ac:dyDescent="0.25">
      <c r="A8" s="42">
        <v>16</v>
      </c>
      <c r="B8" s="54">
        <f>'F2023 Forecast'!B8</f>
        <v>583</v>
      </c>
      <c r="C8" s="54">
        <f>'F2023 Forecast'!C8</f>
        <v>583</v>
      </c>
      <c r="D8" s="54">
        <f>'F2023 Forecast'!D8</f>
        <v>583</v>
      </c>
      <c r="E8" s="54">
        <f>'F2023 Forecast'!E8</f>
        <v>583</v>
      </c>
      <c r="F8" s="54">
        <f>'F2023 Forecast'!F8</f>
        <v>583</v>
      </c>
      <c r="G8" s="54">
        <f>'F2023 Forecast'!G8</f>
        <v>583</v>
      </c>
      <c r="H8" s="54">
        <f>'F2023 Forecast'!H8</f>
        <v>583</v>
      </c>
      <c r="I8" s="54">
        <f>'F2023 Forecast'!I8</f>
        <v>583</v>
      </c>
      <c r="J8" s="54">
        <f>'F2023 Forecast'!J8</f>
        <v>583</v>
      </c>
      <c r="K8" s="54">
        <f>'F2023 Forecast'!K8</f>
        <v>583</v>
      </c>
      <c r="L8" s="54">
        <f>'F2023 Forecast'!L8</f>
        <v>583</v>
      </c>
      <c r="M8" s="54">
        <f>'F2023 Forecast'!M8</f>
        <v>583</v>
      </c>
      <c r="N8" s="48">
        <f>SUM(B8:M8)</f>
        <v>6996</v>
      </c>
    </row>
    <row r="9" spans="1:14" x14ac:dyDescent="0.25">
      <c r="A9" s="42">
        <v>23</v>
      </c>
      <c r="B9" s="54">
        <f>'F2023 Forecast'!B9</f>
        <v>65562560</v>
      </c>
      <c r="C9" s="54">
        <f>'F2023 Forecast'!C9</f>
        <v>87632029</v>
      </c>
      <c r="D9" s="54">
        <f>'F2023 Forecast'!D9</f>
        <v>85099134</v>
      </c>
      <c r="E9" s="54">
        <f>'F2023 Forecast'!E9</f>
        <v>74985418</v>
      </c>
      <c r="F9" s="54">
        <f>'F2023 Forecast'!F9</f>
        <v>68653480</v>
      </c>
      <c r="G9" s="54">
        <f>'F2023 Forecast'!G9</f>
        <v>46949280</v>
      </c>
      <c r="H9" s="54">
        <f>'F2023 Forecast'!H9</f>
        <v>27300857</v>
      </c>
      <c r="I9" s="54">
        <f>'F2023 Forecast'!I9</f>
        <v>18661784</v>
      </c>
      <c r="J9" s="54">
        <f>'F2023 Forecast'!J9</f>
        <v>14141387</v>
      </c>
      <c r="K9" s="54">
        <f>'F2023 Forecast'!K9</f>
        <v>13556472</v>
      </c>
      <c r="L9" s="54">
        <f>'F2023 Forecast'!L9</f>
        <v>17856721</v>
      </c>
      <c r="M9" s="54">
        <f>'F2023 Forecast'!M9</f>
        <v>38270559</v>
      </c>
      <c r="N9" s="48">
        <f t="shared" ref="N9:N21" si="8">SUM(B9:M9)</f>
        <v>558669681</v>
      </c>
    </row>
    <row r="10" spans="1:14" x14ac:dyDescent="0.25">
      <c r="A10" s="42">
        <v>53</v>
      </c>
      <c r="B10" s="54">
        <f>'F2023 Forecast'!B10</f>
        <v>0</v>
      </c>
      <c r="C10" s="54">
        <f>'F2023 Forecast'!C10</f>
        <v>0</v>
      </c>
      <c r="D10" s="54">
        <f>'F2023 Forecast'!D10</f>
        <v>0</v>
      </c>
      <c r="E10" s="54">
        <f>'F2023 Forecast'!E10</f>
        <v>0</v>
      </c>
      <c r="F10" s="54">
        <f>'F2023 Forecast'!F10</f>
        <v>0</v>
      </c>
      <c r="G10" s="54">
        <f>'F2023 Forecast'!G10</f>
        <v>0</v>
      </c>
      <c r="H10" s="54">
        <f>'F2023 Forecast'!H10</f>
        <v>0</v>
      </c>
      <c r="I10" s="54">
        <f>'F2023 Forecast'!I10</f>
        <v>0</v>
      </c>
      <c r="J10" s="54">
        <f>'F2023 Forecast'!J10</f>
        <v>0</v>
      </c>
      <c r="K10" s="54">
        <f>'F2023 Forecast'!K10</f>
        <v>0</v>
      </c>
      <c r="L10" s="54">
        <f>'F2023 Forecast'!L10</f>
        <v>0</v>
      </c>
      <c r="M10" s="54">
        <f>'F2023 Forecast'!M10</f>
        <v>0</v>
      </c>
      <c r="N10" s="48">
        <f t="shared" si="8"/>
        <v>0</v>
      </c>
    </row>
    <row r="11" spans="1:14" x14ac:dyDescent="0.25">
      <c r="A11" s="42">
        <v>31</v>
      </c>
      <c r="B11" s="54">
        <f>'F2023 Forecast'!B11</f>
        <v>28075769</v>
      </c>
      <c r="C11" s="54">
        <f>'F2023 Forecast'!C11</f>
        <v>34266634</v>
      </c>
      <c r="D11" s="54">
        <f>'F2023 Forecast'!D11</f>
        <v>29841444</v>
      </c>
      <c r="E11" s="54">
        <f>'F2023 Forecast'!E11</f>
        <v>26959612</v>
      </c>
      <c r="F11" s="54">
        <f>'F2023 Forecast'!F11</f>
        <v>23951671</v>
      </c>
      <c r="G11" s="54">
        <f>'F2023 Forecast'!G11</f>
        <v>17138745</v>
      </c>
      <c r="H11" s="54">
        <f>'F2023 Forecast'!H11</f>
        <v>12479173</v>
      </c>
      <c r="I11" s="54">
        <f>'F2023 Forecast'!I11</f>
        <v>10007332</v>
      </c>
      <c r="J11" s="54">
        <f>'F2023 Forecast'!J11</f>
        <v>8541920</v>
      </c>
      <c r="K11" s="54">
        <f>'F2023 Forecast'!K11</f>
        <v>9385859</v>
      </c>
      <c r="L11" s="54">
        <f>'F2023 Forecast'!L11</f>
        <v>11554178</v>
      </c>
      <c r="M11" s="54">
        <f>'F2023 Forecast'!M11</f>
        <v>19568944</v>
      </c>
      <c r="N11" s="48">
        <f t="shared" si="8"/>
        <v>231771281</v>
      </c>
    </row>
    <row r="12" spans="1:14" x14ac:dyDescent="0.25">
      <c r="A12" s="42">
        <v>41</v>
      </c>
      <c r="B12" s="54">
        <f>'F2023 Forecast'!B12</f>
        <v>7466927</v>
      </c>
      <c r="C12" s="54">
        <f>'F2023 Forecast'!C12</f>
        <v>8120651</v>
      </c>
      <c r="D12" s="54">
        <f>'F2023 Forecast'!D12</f>
        <v>7027771</v>
      </c>
      <c r="E12" s="54">
        <f>'F2023 Forecast'!E12</f>
        <v>6731689</v>
      </c>
      <c r="F12" s="54">
        <f>'F2023 Forecast'!F12</f>
        <v>6193338</v>
      </c>
      <c r="G12" s="54">
        <f>'F2023 Forecast'!G12</f>
        <v>4749198</v>
      </c>
      <c r="H12" s="54">
        <f>'F2023 Forecast'!H12</f>
        <v>3794892</v>
      </c>
      <c r="I12" s="54">
        <f>'F2023 Forecast'!I12</f>
        <v>3220044</v>
      </c>
      <c r="J12" s="54">
        <f>'F2023 Forecast'!J12</f>
        <v>2633383</v>
      </c>
      <c r="K12" s="54">
        <f>'F2023 Forecast'!K12</f>
        <v>2880961</v>
      </c>
      <c r="L12" s="54">
        <f>'F2023 Forecast'!L12</f>
        <v>3593806</v>
      </c>
      <c r="M12" s="54">
        <f>'F2023 Forecast'!M12</f>
        <v>5682283</v>
      </c>
      <c r="N12" s="48">
        <f t="shared" si="8"/>
        <v>62094943</v>
      </c>
    </row>
    <row r="13" spans="1:14" x14ac:dyDescent="0.25">
      <c r="A13" s="42">
        <v>85</v>
      </c>
      <c r="B13" s="54">
        <f>'F2023 Forecast'!B13</f>
        <v>1566880</v>
      </c>
      <c r="C13" s="54">
        <f>'F2023 Forecast'!C13</f>
        <v>1847879</v>
      </c>
      <c r="D13" s="54">
        <f>'F2023 Forecast'!D13</f>
        <v>1599575</v>
      </c>
      <c r="E13" s="54">
        <f>'F2023 Forecast'!E13</f>
        <v>1594052</v>
      </c>
      <c r="F13" s="54">
        <f>'F2023 Forecast'!F13</f>
        <v>1547353</v>
      </c>
      <c r="G13" s="54">
        <f>'F2023 Forecast'!G13</f>
        <v>1330588</v>
      </c>
      <c r="H13" s="54">
        <f>'F2023 Forecast'!H13</f>
        <v>1333543</v>
      </c>
      <c r="I13" s="54">
        <f>'F2023 Forecast'!I13</f>
        <v>1228915</v>
      </c>
      <c r="J13" s="54">
        <f>'F2023 Forecast'!J13</f>
        <v>1241425</v>
      </c>
      <c r="K13" s="54">
        <f>'F2023 Forecast'!K13</f>
        <v>1346578</v>
      </c>
      <c r="L13" s="54">
        <f>'F2023 Forecast'!L13</f>
        <v>1180877</v>
      </c>
      <c r="M13" s="54">
        <f>'F2023 Forecast'!M13</f>
        <v>1444713</v>
      </c>
      <c r="N13" s="48">
        <f t="shared" si="8"/>
        <v>17262378</v>
      </c>
    </row>
    <row r="14" spans="1:14" x14ac:dyDescent="0.25">
      <c r="A14" s="42">
        <v>86</v>
      </c>
      <c r="B14" s="54">
        <f>'F2023 Forecast'!B14</f>
        <v>520057</v>
      </c>
      <c r="C14" s="54">
        <f>'F2023 Forecast'!C14</f>
        <v>815418</v>
      </c>
      <c r="D14" s="54">
        <f>'F2023 Forecast'!D14</f>
        <v>702664</v>
      </c>
      <c r="E14" s="54">
        <f>'F2023 Forecast'!E14</f>
        <v>693062</v>
      </c>
      <c r="F14" s="54">
        <f>'F2023 Forecast'!F14</f>
        <v>665938</v>
      </c>
      <c r="G14" s="54">
        <f>'F2023 Forecast'!G14</f>
        <v>468531</v>
      </c>
      <c r="H14" s="54">
        <f>'F2023 Forecast'!H14</f>
        <v>388605</v>
      </c>
      <c r="I14" s="54">
        <f>'F2023 Forecast'!I14</f>
        <v>222624</v>
      </c>
      <c r="J14" s="54">
        <f>'F2023 Forecast'!J14</f>
        <v>99487</v>
      </c>
      <c r="K14" s="54">
        <f>'F2023 Forecast'!K14</f>
        <v>17695</v>
      </c>
      <c r="L14" s="54">
        <f>'F2023 Forecast'!L14</f>
        <v>47188</v>
      </c>
      <c r="M14" s="54">
        <f>'F2023 Forecast'!M14</f>
        <v>274533</v>
      </c>
      <c r="N14" s="48">
        <f t="shared" si="8"/>
        <v>4915802</v>
      </c>
    </row>
    <row r="15" spans="1:14" x14ac:dyDescent="0.25">
      <c r="A15" s="42">
        <v>87</v>
      </c>
      <c r="B15" s="54">
        <f>'F2023 Forecast'!B15</f>
        <v>2056906</v>
      </c>
      <c r="C15" s="54">
        <f>'F2023 Forecast'!C15</f>
        <v>2445861</v>
      </c>
      <c r="D15" s="54">
        <f>'F2023 Forecast'!D15</f>
        <v>1836059</v>
      </c>
      <c r="E15" s="54">
        <f>'F2023 Forecast'!E15</f>
        <v>1824391</v>
      </c>
      <c r="F15" s="54">
        <f>'F2023 Forecast'!F15</f>
        <v>1749044</v>
      </c>
      <c r="G15" s="54">
        <f>'F2023 Forecast'!G15</f>
        <v>1402353</v>
      </c>
      <c r="H15" s="54">
        <f>'F2023 Forecast'!H15</f>
        <v>1509483</v>
      </c>
      <c r="I15" s="54">
        <f>'F2023 Forecast'!I15</f>
        <v>1358291</v>
      </c>
      <c r="J15" s="54">
        <f>'F2023 Forecast'!J15</f>
        <v>1475182</v>
      </c>
      <c r="K15" s="54">
        <f>'F2023 Forecast'!K15</f>
        <v>1610634</v>
      </c>
      <c r="L15" s="54">
        <f>'F2023 Forecast'!L15</f>
        <v>1501333</v>
      </c>
      <c r="M15" s="54">
        <f>'F2023 Forecast'!M15</f>
        <v>2068873</v>
      </c>
      <c r="N15" s="48">
        <f t="shared" si="8"/>
        <v>20838410</v>
      </c>
    </row>
    <row r="16" spans="1:14" x14ac:dyDescent="0.25">
      <c r="A16" s="42" t="s">
        <v>27</v>
      </c>
      <c r="B16" s="54">
        <f>'F2023 Forecast'!B16</f>
        <v>1</v>
      </c>
      <c r="C16" s="54">
        <f>'F2023 Forecast'!C16</f>
        <v>128</v>
      </c>
      <c r="D16" s="54">
        <f>'F2023 Forecast'!D16</f>
        <v>528</v>
      </c>
      <c r="E16" s="54">
        <f>'F2023 Forecast'!E16</f>
        <v>61</v>
      </c>
      <c r="F16" s="54">
        <f>'F2023 Forecast'!F16</f>
        <v>0</v>
      </c>
      <c r="G16" s="54">
        <f>'F2023 Forecast'!G16</f>
        <v>0</v>
      </c>
      <c r="H16" s="54">
        <f>'F2023 Forecast'!H16</f>
        <v>0</v>
      </c>
      <c r="I16" s="54">
        <f>'F2023 Forecast'!I16</f>
        <v>0</v>
      </c>
      <c r="J16" s="54">
        <f>'F2023 Forecast'!J16</f>
        <v>0</v>
      </c>
      <c r="K16" s="54">
        <f>'F2023 Forecast'!K16</f>
        <v>0</v>
      </c>
      <c r="L16" s="54">
        <f>'F2023 Forecast'!L16</f>
        <v>219</v>
      </c>
      <c r="M16" s="54">
        <f>'F2023 Forecast'!M16</f>
        <v>15</v>
      </c>
      <c r="N16" s="48">
        <f t="shared" si="8"/>
        <v>952</v>
      </c>
    </row>
    <row r="17" spans="1:14" x14ac:dyDescent="0.25">
      <c r="A17" s="42" t="s">
        <v>29</v>
      </c>
      <c r="B17" s="54">
        <f>'F2023 Forecast'!B17</f>
        <v>1805929</v>
      </c>
      <c r="C17" s="54">
        <f>'F2023 Forecast'!C17</f>
        <v>1741423</v>
      </c>
      <c r="D17" s="54">
        <f>'F2023 Forecast'!D17</f>
        <v>1774331</v>
      </c>
      <c r="E17" s="54">
        <f>'F2023 Forecast'!E17</f>
        <v>2017130</v>
      </c>
      <c r="F17" s="54">
        <f>'F2023 Forecast'!F17</f>
        <v>1793236</v>
      </c>
      <c r="G17" s="54">
        <f>'F2023 Forecast'!G17</f>
        <v>1909641</v>
      </c>
      <c r="H17" s="54">
        <f>'F2023 Forecast'!H17</f>
        <v>1839584</v>
      </c>
      <c r="I17" s="54">
        <f>'F2023 Forecast'!I17</f>
        <v>1883319</v>
      </c>
      <c r="J17" s="54">
        <f>'F2023 Forecast'!J17</f>
        <v>1678682</v>
      </c>
      <c r="K17" s="54">
        <f>'F2023 Forecast'!K17</f>
        <v>1691880</v>
      </c>
      <c r="L17" s="54">
        <f>'F2023 Forecast'!L17</f>
        <v>1738088</v>
      </c>
      <c r="M17" s="54">
        <f>'F2023 Forecast'!M17</f>
        <v>1511046</v>
      </c>
      <c r="N17" s="48">
        <f t="shared" si="8"/>
        <v>21384289</v>
      </c>
    </row>
    <row r="18" spans="1:14" x14ac:dyDescent="0.25">
      <c r="A18" s="42" t="s">
        <v>31</v>
      </c>
      <c r="B18" s="54">
        <f>'F2023 Forecast'!B18</f>
        <v>5535795</v>
      </c>
      <c r="C18" s="54">
        <f>'F2023 Forecast'!C18</f>
        <v>5111876</v>
      </c>
      <c r="D18" s="54">
        <f>'F2023 Forecast'!D18</f>
        <v>5041670</v>
      </c>
      <c r="E18" s="54">
        <f>'F2023 Forecast'!E18</f>
        <v>5872492</v>
      </c>
      <c r="F18" s="54">
        <f>'F2023 Forecast'!F18</f>
        <v>5053847</v>
      </c>
      <c r="G18" s="54">
        <f>'F2023 Forecast'!G18</f>
        <v>5656126</v>
      </c>
      <c r="H18" s="54">
        <f>'F2023 Forecast'!H18</f>
        <v>5832342</v>
      </c>
      <c r="I18" s="54">
        <f>'F2023 Forecast'!I18</f>
        <v>5420147</v>
      </c>
      <c r="J18" s="54">
        <f>'F2023 Forecast'!J18</f>
        <v>4980768</v>
      </c>
      <c r="K18" s="54">
        <f>'F2023 Forecast'!K18</f>
        <v>4885851</v>
      </c>
      <c r="L18" s="54">
        <f>'F2023 Forecast'!L18</f>
        <v>5424449</v>
      </c>
      <c r="M18" s="54">
        <f>'F2023 Forecast'!M18</f>
        <v>4526473</v>
      </c>
      <c r="N18" s="48">
        <f t="shared" si="8"/>
        <v>63341836</v>
      </c>
    </row>
    <row r="19" spans="1:14" x14ac:dyDescent="0.25">
      <c r="A19" s="42" t="s">
        <v>33</v>
      </c>
      <c r="B19" s="54">
        <f>'F2023 Forecast'!B19</f>
        <v>106528</v>
      </c>
      <c r="C19" s="54">
        <f>'F2023 Forecast'!C19</f>
        <v>97852</v>
      </c>
      <c r="D19" s="54">
        <f>'F2023 Forecast'!D19</f>
        <v>97698</v>
      </c>
      <c r="E19" s="54">
        <f>'F2023 Forecast'!E19</f>
        <v>118656</v>
      </c>
      <c r="F19" s="54">
        <f>'F2023 Forecast'!F19</f>
        <v>101941</v>
      </c>
      <c r="G19" s="54">
        <f>'F2023 Forecast'!G19</f>
        <v>111179</v>
      </c>
      <c r="H19" s="54">
        <f>'F2023 Forecast'!H19</f>
        <v>104880</v>
      </c>
      <c r="I19" s="54">
        <f>'F2023 Forecast'!I19</f>
        <v>104204</v>
      </c>
      <c r="J19" s="54">
        <f>'F2023 Forecast'!J19</f>
        <v>90225</v>
      </c>
      <c r="K19" s="54">
        <f>'F2023 Forecast'!K19</f>
        <v>83370</v>
      </c>
      <c r="L19" s="54">
        <f>'F2023 Forecast'!L19</f>
        <v>96837</v>
      </c>
      <c r="M19" s="54">
        <f>'F2023 Forecast'!M19</f>
        <v>83739</v>
      </c>
      <c r="N19" s="48">
        <f t="shared" si="8"/>
        <v>1197109</v>
      </c>
    </row>
    <row r="20" spans="1:14" x14ac:dyDescent="0.25">
      <c r="A20" s="42" t="s">
        <v>35</v>
      </c>
      <c r="B20" s="54">
        <f>'F2023 Forecast'!B20</f>
        <v>10204277</v>
      </c>
      <c r="C20" s="54">
        <f>'F2023 Forecast'!C20</f>
        <v>10279308</v>
      </c>
      <c r="D20" s="54">
        <f>'F2023 Forecast'!D20</f>
        <v>8759343</v>
      </c>
      <c r="E20" s="54">
        <f>'F2023 Forecast'!E20</f>
        <v>10236860</v>
      </c>
      <c r="F20" s="54">
        <f>'F2023 Forecast'!F20</f>
        <v>8918493</v>
      </c>
      <c r="G20" s="54">
        <f>'F2023 Forecast'!G20</f>
        <v>9439582</v>
      </c>
      <c r="H20" s="54">
        <f>'F2023 Forecast'!H20</f>
        <v>10257828</v>
      </c>
      <c r="I20" s="54">
        <f>'F2023 Forecast'!I20</f>
        <v>11399495</v>
      </c>
      <c r="J20" s="54">
        <f>'F2023 Forecast'!J20</f>
        <v>11779346</v>
      </c>
      <c r="K20" s="54">
        <f>'F2023 Forecast'!K20</f>
        <v>11336188</v>
      </c>
      <c r="L20" s="54">
        <f>'F2023 Forecast'!L20</f>
        <v>11888460</v>
      </c>
      <c r="M20" s="54">
        <f>'F2023 Forecast'!M20</f>
        <v>10208495</v>
      </c>
      <c r="N20" s="48">
        <f t="shared" si="8"/>
        <v>124707675</v>
      </c>
    </row>
    <row r="21" spans="1:14" x14ac:dyDescent="0.25">
      <c r="A21" s="49" t="s">
        <v>36</v>
      </c>
      <c r="B21" s="54">
        <f>'F2023 Forecast'!B21</f>
        <v>3428189</v>
      </c>
      <c r="C21" s="54">
        <f>'F2023 Forecast'!C21</f>
        <v>3505761</v>
      </c>
      <c r="D21" s="54">
        <f>'F2023 Forecast'!D21</f>
        <v>3416838</v>
      </c>
      <c r="E21" s="54">
        <f>'F2023 Forecast'!E21</f>
        <v>4104572</v>
      </c>
      <c r="F21" s="54">
        <f>'F2023 Forecast'!F21</f>
        <v>2869624</v>
      </c>
      <c r="G21" s="54">
        <f>'F2023 Forecast'!G21</f>
        <v>2802981</v>
      </c>
      <c r="H21" s="54">
        <f>'F2023 Forecast'!H21</f>
        <v>2518324</v>
      </c>
      <c r="I21" s="54">
        <f>'F2023 Forecast'!I21</f>
        <v>1983662</v>
      </c>
      <c r="J21" s="54">
        <f>'F2023 Forecast'!J21</f>
        <v>1748321</v>
      </c>
      <c r="K21" s="54">
        <f>'F2023 Forecast'!K21</f>
        <v>1594116</v>
      </c>
      <c r="L21" s="54">
        <f>'F2023 Forecast'!L21</f>
        <v>1962548</v>
      </c>
      <c r="M21" s="54">
        <f>'F2023 Forecast'!M21</f>
        <v>2065335</v>
      </c>
      <c r="N21" s="48">
        <f t="shared" si="8"/>
        <v>32000271</v>
      </c>
    </row>
    <row r="22" spans="1:14" x14ac:dyDescent="0.25">
      <c r="A22" s="50" t="s">
        <v>2</v>
      </c>
      <c r="B22" s="51">
        <f>SUM(B8:B21)</f>
        <v>126330401</v>
      </c>
      <c r="C22" s="51">
        <f t="shared" ref="C22:N22" si="9">SUM(C8:C21)</f>
        <v>155865403</v>
      </c>
      <c r="D22" s="51">
        <f t="shared" si="9"/>
        <v>145197638</v>
      </c>
      <c r="E22" s="51">
        <f t="shared" si="9"/>
        <v>135138578</v>
      </c>
      <c r="F22" s="51">
        <f t="shared" si="9"/>
        <v>121498548</v>
      </c>
      <c r="G22" s="51">
        <f t="shared" si="9"/>
        <v>91958787</v>
      </c>
      <c r="H22" s="51">
        <f t="shared" si="9"/>
        <v>67360094</v>
      </c>
      <c r="I22" s="51">
        <f t="shared" si="9"/>
        <v>55490400</v>
      </c>
      <c r="J22" s="51">
        <f t="shared" si="9"/>
        <v>48410709</v>
      </c>
      <c r="K22" s="51">
        <f t="shared" si="9"/>
        <v>48390187</v>
      </c>
      <c r="L22" s="51">
        <f t="shared" si="9"/>
        <v>56845287</v>
      </c>
      <c r="M22" s="51">
        <f t="shared" si="9"/>
        <v>85705591</v>
      </c>
      <c r="N22" s="51">
        <f t="shared" si="9"/>
        <v>1138191623</v>
      </c>
    </row>
    <row r="23" spans="1:14" x14ac:dyDescent="0.25">
      <c r="A23" s="50"/>
      <c r="B23" s="52"/>
      <c r="C23" s="52"/>
      <c r="D23" s="52"/>
      <c r="E23" s="52"/>
      <c r="F23" s="52"/>
      <c r="G23" s="52"/>
      <c r="H23" s="52"/>
      <c r="I23" s="52"/>
      <c r="J23" s="52"/>
      <c r="K23" s="52"/>
      <c r="L23" s="52"/>
      <c r="M23" s="52"/>
      <c r="N23" s="52"/>
    </row>
    <row r="24" spans="1:14" ht="17.25" x14ac:dyDescent="0.25">
      <c r="A24" s="53" t="s">
        <v>88</v>
      </c>
    </row>
    <row r="25" spans="1:14" x14ac:dyDescent="0.25">
      <c r="A25" s="43" t="s">
        <v>52</v>
      </c>
      <c r="B25" s="45">
        <f>B7</f>
        <v>45231</v>
      </c>
      <c r="C25" s="45">
        <f t="shared" ref="C25:M25" si="10">C7</f>
        <v>45261</v>
      </c>
      <c r="D25" s="45">
        <f t="shared" si="10"/>
        <v>45292</v>
      </c>
      <c r="E25" s="45">
        <f t="shared" si="10"/>
        <v>45323</v>
      </c>
      <c r="F25" s="45">
        <f t="shared" si="10"/>
        <v>45352</v>
      </c>
      <c r="G25" s="45">
        <f t="shared" si="10"/>
        <v>45383</v>
      </c>
      <c r="H25" s="45">
        <f t="shared" si="10"/>
        <v>45413</v>
      </c>
      <c r="I25" s="45">
        <f t="shared" si="10"/>
        <v>45444</v>
      </c>
      <c r="J25" s="45">
        <f t="shared" si="10"/>
        <v>45474</v>
      </c>
      <c r="K25" s="45">
        <f t="shared" si="10"/>
        <v>45505</v>
      </c>
      <c r="L25" s="45">
        <f t="shared" si="10"/>
        <v>45536</v>
      </c>
      <c r="M25" s="45">
        <f t="shared" si="10"/>
        <v>45566</v>
      </c>
      <c r="N25" s="46" t="s">
        <v>2</v>
      </c>
    </row>
    <row r="26" spans="1:14" x14ac:dyDescent="0.25">
      <c r="A26" s="42">
        <v>16</v>
      </c>
      <c r="B26" s="47">
        <v>0</v>
      </c>
      <c r="C26" s="47">
        <v>0</v>
      </c>
      <c r="D26" s="47">
        <v>0</v>
      </c>
      <c r="E26" s="47">
        <v>0</v>
      </c>
      <c r="F26" s="47">
        <v>0</v>
      </c>
      <c r="G26" s="47">
        <v>0</v>
      </c>
      <c r="H26" s="47">
        <v>0</v>
      </c>
      <c r="I26" s="47">
        <v>0</v>
      </c>
      <c r="J26" s="47">
        <v>0</v>
      </c>
      <c r="K26" s="47">
        <v>0</v>
      </c>
      <c r="L26" s="47">
        <v>0</v>
      </c>
      <c r="M26" s="47">
        <v>0</v>
      </c>
      <c r="N26" s="48">
        <f>SUM(B26:M26)</f>
        <v>0</v>
      </c>
    </row>
    <row r="27" spans="1:14" x14ac:dyDescent="0.25">
      <c r="A27" s="42">
        <v>23</v>
      </c>
      <c r="B27" s="47">
        <v>0</v>
      </c>
      <c r="C27" s="47">
        <v>0</v>
      </c>
      <c r="D27" s="47">
        <v>0</v>
      </c>
      <c r="E27" s="47">
        <v>0</v>
      </c>
      <c r="F27" s="47">
        <v>0</v>
      </c>
      <c r="G27" s="47">
        <v>0</v>
      </c>
      <c r="H27" s="47">
        <v>0</v>
      </c>
      <c r="I27" s="47">
        <v>0</v>
      </c>
      <c r="J27" s="47">
        <v>0</v>
      </c>
      <c r="K27" s="47">
        <v>0</v>
      </c>
      <c r="L27" s="47">
        <v>0</v>
      </c>
      <c r="M27" s="47">
        <v>0</v>
      </c>
      <c r="N27" s="48">
        <f t="shared" ref="N27:N39" si="11">SUM(B27:M27)</f>
        <v>0</v>
      </c>
    </row>
    <row r="28" spans="1:14" x14ac:dyDescent="0.25">
      <c r="A28" s="42">
        <v>53</v>
      </c>
      <c r="B28" s="47">
        <v>0</v>
      </c>
      <c r="C28" s="47">
        <v>0</v>
      </c>
      <c r="D28" s="47">
        <v>0</v>
      </c>
      <c r="E28" s="47">
        <v>0</v>
      </c>
      <c r="F28" s="47">
        <v>0</v>
      </c>
      <c r="G28" s="47">
        <v>0</v>
      </c>
      <c r="H28" s="47">
        <v>0</v>
      </c>
      <c r="I28" s="47">
        <v>0</v>
      </c>
      <c r="J28" s="47">
        <v>0</v>
      </c>
      <c r="K28" s="47">
        <v>0</v>
      </c>
      <c r="L28" s="47">
        <v>0</v>
      </c>
      <c r="M28" s="47">
        <v>0</v>
      </c>
      <c r="N28" s="48">
        <f t="shared" si="11"/>
        <v>0</v>
      </c>
    </row>
    <row r="29" spans="1:14" x14ac:dyDescent="0.25">
      <c r="A29" s="42">
        <v>31</v>
      </c>
      <c r="B29" s="47">
        <v>24367.246687542451</v>
      </c>
      <c r="C29" s="47">
        <v>29740.471689193408</v>
      </c>
      <c r="D29" s="47">
        <v>25900.15138914212</v>
      </c>
      <c r="E29" s="47">
        <v>23398.574735669856</v>
      </c>
      <c r="F29" s="47">
        <v>20787.899168423752</v>
      </c>
      <c r="G29" s="47">
        <v>14874.891314820028</v>
      </c>
      <c r="H29" s="47">
        <v>10830.801326108569</v>
      </c>
      <c r="I29" s="47">
        <v>8685.4653506613558</v>
      </c>
      <c r="J29" s="47">
        <v>7413.6193531024301</v>
      </c>
      <c r="K29" s="47">
        <v>8146.0826053030951</v>
      </c>
      <c r="L29" s="47">
        <v>10028.178818418886</v>
      </c>
      <c r="M29" s="47">
        <v>16984.098793066194</v>
      </c>
      <c r="N29" s="48">
        <f t="shared" si="11"/>
        <v>201157.48123145217</v>
      </c>
    </row>
    <row r="30" spans="1:14" x14ac:dyDescent="0.25">
      <c r="A30" s="42">
        <v>41</v>
      </c>
      <c r="B30" s="47">
        <v>14413.730174635493</v>
      </c>
      <c r="C30" s="47">
        <v>15675.641713972012</v>
      </c>
      <c r="D30" s="47">
        <v>13566.008469498665</v>
      </c>
      <c r="E30" s="47">
        <v>12994.468656993946</v>
      </c>
      <c r="F30" s="47">
        <v>11955.266579185338</v>
      </c>
      <c r="G30" s="47">
        <v>9167.5810568281358</v>
      </c>
      <c r="H30" s="47">
        <v>7325.4431615419353</v>
      </c>
      <c r="I30" s="47">
        <v>6215.78935570871</v>
      </c>
      <c r="J30" s="47">
        <v>5083.3324081609662</v>
      </c>
      <c r="K30" s="47">
        <v>5561.2428643869216</v>
      </c>
      <c r="L30" s="47">
        <v>6937.2782115033506</v>
      </c>
      <c r="M30" s="47">
        <v>10968.755143570883</v>
      </c>
      <c r="N30" s="48">
        <f t="shared" si="11"/>
        <v>119864.53779598634</v>
      </c>
    </row>
    <row r="31" spans="1:14" x14ac:dyDescent="0.25">
      <c r="A31" s="42">
        <v>85</v>
      </c>
      <c r="B31" s="47">
        <v>0</v>
      </c>
      <c r="C31" s="47">
        <v>0</v>
      </c>
      <c r="D31" s="47">
        <v>0</v>
      </c>
      <c r="E31" s="47">
        <v>0</v>
      </c>
      <c r="F31" s="47">
        <v>0</v>
      </c>
      <c r="G31" s="47">
        <v>0</v>
      </c>
      <c r="H31" s="47">
        <v>0</v>
      </c>
      <c r="I31" s="47">
        <v>0</v>
      </c>
      <c r="J31" s="47">
        <v>0</v>
      </c>
      <c r="K31" s="47">
        <v>0</v>
      </c>
      <c r="L31" s="47">
        <v>0</v>
      </c>
      <c r="M31" s="47">
        <v>0</v>
      </c>
      <c r="N31" s="48">
        <f t="shared" si="11"/>
        <v>0</v>
      </c>
    </row>
    <row r="32" spans="1:14" x14ac:dyDescent="0.25">
      <c r="A32" s="42">
        <v>86</v>
      </c>
      <c r="B32" s="47">
        <v>0</v>
      </c>
      <c r="C32" s="47">
        <v>0</v>
      </c>
      <c r="D32" s="47">
        <v>0</v>
      </c>
      <c r="E32" s="47">
        <v>0</v>
      </c>
      <c r="F32" s="47">
        <v>0</v>
      </c>
      <c r="G32" s="47">
        <v>0</v>
      </c>
      <c r="H32" s="47">
        <v>0</v>
      </c>
      <c r="I32" s="47">
        <v>0</v>
      </c>
      <c r="J32" s="47">
        <v>0</v>
      </c>
      <c r="K32" s="47">
        <v>0</v>
      </c>
      <c r="L32" s="47">
        <v>0</v>
      </c>
      <c r="M32" s="47">
        <v>0</v>
      </c>
      <c r="N32" s="48">
        <f t="shared" si="11"/>
        <v>0</v>
      </c>
    </row>
    <row r="33" spans="1:14" x14ac:dyDescent="0.25">
      <c r="A33" s="42">
        <v>87</v>
      </c>
      <c r="B33" s="47">
        <v>1532598.7914180171</v>
      </c>
      <c r="C33" s="47">
        <v>1822408.808461088</v>
      </c>
      <c r="D33" s="47">
        <v>1368045.8924093628</v>
      </c>
      <c r="E33" s="47">
        <v>1359352.0762124802</v>
      </c>
      <c r="F33" s="47">
        <v>1303211.0949829181</v>
      </c>
      <c r="G33" s="47">
        <v>1044891.9459330812</v>
      </c>
      <c r="H33" s="47">
        <v>1124714.4115803263</v>
      </c>
      <c r="I33" s="47">
        <v>1012061.3897737523</v>
      </c>
      <c r="J33" s="47">
        <v>1099156.7676508373</v>
      </c>
      <c r="K33" s="47">
        <v>1200081.9297608964</v>
      </c>
      <c r="L33" s="47">
        <v>1118641.8539865147</v>
      </c>
      <c r="M33" s="47">
        <v>1541515.3922431883</v>
      </c>
      <c r="N33" s="48">
        <f t="shared" si="11"/>
        <v>15526680.354412463</v>
      </c>
    </row>
    <row r="34" spans="1:14" x14ac:dyDescent="0.25">
      <c r="A34" s="42" t="s">
        <v>27</v>
      </c>
      <c r="B34" s="47">
        <v>0</v>
      </c>
      <c r="C34" s="47">
        <v>0</v>
      </c>
      <c r="D34" s="47">
        <v>0</v>
      </c>
      <c r="E34" s="47">
        <v>0</v>
      </c>
      <c r="F34" s="47">
        <v>0</v>
      </c>
      <c r="G34" s="47">
        <v>0</v>
      </c>
      <c r="H34" s="47">
        <v>0</v>
      </c>
      <c r="I34" s="47">
        <v>0</v>
      </c>
      <c r="J34" s="47">
        <v>0</v>
      </c>
      <c r="K34" s="47">
        <v>0</v>
      </c>
      <c r="L34" s="47">
        <v>0</v>
      </c>
      <c r="M34" s="47">
        <v>0</v>
      </c>
      <c r="N34" s="48">
        <f t="shared" si="11"/>
        <v>0</v>
      </c>
    </row>
    <row r="35" spans="1:14" x14ac:dyDescent="0.25">
      <c r="A35" s="42" t="s">
        <v>29</v>
      </c>
      <c r="B35" s="47">
        <v>0</v>
      </c>
      <c r="C35" s="47">
        <v>0</v>
      </c>
      <c r="D35" s="47">
        <v>0</v>
      </c>
      <c r="E35" s="47">
        <v>0</v>
      </c>
      <c r="F35" s="47">
        <v>0</v>
      </c>
      <c r="G35" s="47">
        <v>0</v>
      </c>
      <c r="H35" s="47">
        <v>0</v>
      </c>
      <c r="I35" s="47">
        <v>0</v>
      </c>
      <c r="J35" s="47">
        <v>0</v>
      </c>
      <c r="K35" s="47">
        <v>0</v>
      </c>
      <c r="L35" s="47">
        <v>0</v>
      </c>
      <c r="M35" s="47">
        <v>0</v>
      </c>
      <c r="N35" s="48">
        <f t="shared" si="11"/>
        <v>0</v>
      </c>
    </row>
    <row r="36" spans="1:14" x14ac:dyDescent="0.25">
      <c r="A36" s="42" t="s">
        <v>31</v>
      </c>
      <c r="B36" s="47">
        <v>418833.58835992782</v>
      </c>
      <c r="C36" s="47">
        <v>386760.23377509363</v>
      </c>
      <c r="D36" s="47">
        <v>381448.50693109067</v>
      </c>
      <c r="E36" s="47">
        <v>444307.799868848</v>
      </c>
      <c r="F36" s="47">
        <v>382369.80849761527</v>
      </c>
      <c r="G36" s="47">
        <v>427937.7304968636</v>
      </c>
      <c r="H36" s="47">
        <v>441270.0846766035</v>
      </c>
      <c r="I36" s="47">
        <v>410083.75805973628</v>
      </c>
      <c r="J36" s="47">
        <v>376840.71289278253</v>
      </c>
      <c r="K36" s="47">
        <v>369659.37259633746</v>
      </c>
      <c r="L36" s="47">
        <v>410409.2437572963</v>
      </c>
      <c r="M36" s="47">
        <v>342469.13572564151</v>
      </c>
      <c r="N36" s="48">
        <f t="shared" si="11"/>
        <v>4792389.9756378364</v>
      </c>
    </row>
    <row r="37" spans="1:14" x14ac:dyDescent="0.25">
      <c r="A37" s="42" t="s">
        <v>33</v>
      </c>
      <c r="B37" s="47">
        <v>0</v>
      </c>
      <c r="C37" s="47">
        <v>0</v>
      </c>
      <c r="D37" s="47">
        <v>0</v>
      </c>
      <c r="E37" s="47">
        <v>0</v>
      </c>
      <c r="F37" s="47">
        <v>0</v>
      </c>
      <c r="G37" s="47">
        <v>0</v>
      </c>
      <c r="H37" s="47">
        <v>0</v>
      </c>
      <c r="I37" s="47">
        <v>0</v>
      </c>
      <c r="J37" s="47">
        <v>0</v>
      </c>
      <c r="K37" s="47">
        <v>0</v>
      </c>
      <c r="L37" s="47">
        <v>0</v>
      </c>
      <c r="M37" s="47">
        <v>0</v>
      </c>
      <c r="N37" s="48">
        <f t="shared" si="11"/>
        <v>0</v>
      </c>
    </row>
    <row r="38" spans="1:14" x14ac:dyDescent="0.25">
      <c r="A38" s="42" t="s">
        <v>35</v>
      </c>
      <c r="B38" s="47">
        <v>7097843.7107236274</v>
      </c>
      <c r="C38" s="47">
        <v>7150033.4260223489</v>
      </c>
      <c r="D38" s="47">
        <v>6092783.2145894347</v>
      </c>
      <c r="E38" s="47">
        <v>7120507.6428793799</v>
      </c>
      <c r="F38" s="47">
        <v>6203484.0341145871</v>
      </c>
      <c r="G38" s="47">
        <v>6565940.7060941169</v>
      </c>
      <c r="H38" s="47">
        <v>7135092.4671571264</v>
      </c>
      <c r="I38" s="47">
        <v>7929207.9087205725</v>
      </c>
      <c r="J38" s="47">
        <v>8193422.9071336966</v>
      </c>
      <c r="K38" s="47">
        <v>7885173.1190147679</v>
      </c>
      <c r="L38" s="47">
        <v>8269319.9176374199</v>
      </c>
      <c r="M38" s="47">
        <v>7100777.6476181112</v>
      </c>
      <c r="N38" s="48">
        <f t="shared" si="11"/>
        <v>86743586.701705188</v>
      </c>
    </row>
    <row r="39" spans="1:14" x14ac:dyDescent="0.25">
      <c r="A39" s="49" t="s">
        <v>36</v>
      </c>
      <c r="B39" s="47">
        <v>2073565.909575707</v>
      </c>
      <c r="C39" s="47">
        <v>2120485.9174100496</v>
      </c>
      <c r="D39" s="47">
        <v>2066700.1718233272</v>
      </c>
      <c r="E39" s="47">
        <v>2482681.2560798074</v>
      </c>
      <c r="F39" s="47">
        <v>1735713.6668078334</v>
      </c>
      <c r="G39" s="47">
        <v>1695404.1468508374</v>
      </c>
      <c r="H39" s="47">
        <v>1523227.2187053671</v>
      </c>
      <c r="I39" s="47">
        <v>1199832.885328308</v>
      </c>
      <c r="J39" s="47">
        <v>1057485.1108253687</v>
      </c>
      <c r="K39" s="47">
        <v>964213.05637150921</v>
      </c>
      <c r="L39" s="47">
        <v>1187061.923571304</v>
      </c>
      <c r="M39" s="47">
        <v>1249233.4138676552</v>
      </c>
      <c r="N39" s="48">
        <f t="shared" si="11"/>
        <v>19355604.677217077</v>
      </c>
    </row>
    <row r="40" spans="1:14" x14ac:dyDescent="0.25">
      <c r="A40" s="50" t="s">
        <v>2</v>
      </c>
      <c r="B40" s="51">
        <f>SUM(B26:B39)</f>
        <v>11161622.976939457</v>
      </c>
      <c r="C40" s="51">
        <f t="shared" ref="C40:N40" si="12">SUM(C26:C39)</f>
        <v>11525104.499071745</v>
      </c>
      <c r="D40" s="51">
        <f t="shared" si="12"/>
        <v>9948443.945611855</v>
      </c>
      <c r="E40" s="51">
        <f t="shared" si="12"/>
        <v>11443241.81843318</v>
      </c>
      <c r="F40" s="51">
        <f t="shared" si="12"/>
        <v>9657521.7701505627</v>
      </c>
      <c r="G40" s="51">
        <f t="shared" si="12"/>
        <v>9758217.0017465465</v>
      </c>
      <c r="H40" s="51">
        <f t="shared" si="12"/>
        <v>10242460.426607074</v>
      </c>
      <c r="I40" s="51">
        <f t="shared" si="12"/>
        <v>10566087.19658874</v>
      </c>
      <c r="J40" s="51">
        <f t="shared" si="12"/>
        <v>10739402.450263949</v>
      </c>
      <c r="K40" s="51">
        <f t="shared" si="12"/>
        <v>10432834.803213201</v>
      </c>
      <c r="L40" s="51">
        <f t="shared" si="12"/>
        <v>11002398.395982457</v>
      </c>
      <c r="M40" s="51">
        <f t="shared" si="12"/>
        <v>10261948.443391234</v>
      </c>
      <c r="N40" s="51">
        <f t="shared" si="12"/>
        <v>126739283.728</v>
      </c>
    </row>
    <row r="42" spans="1:14" ht="17.25" x14ac:dyDescent="0.25">
      <c r="A42" s="53" t="s">
        <v>80</v>
      </c>
    </row>
    <row r="43" spans="1:14" x14ac:dyDescent="0.25">
      <c r="A43" s="43" t="s">
        <v>52</v>
      </c>
      <c r="B43" s="45">
        <f>B7</f>
        <v>45231</v>
      </c>
      <c r="C43" s="45">
        <f t="shared" ref="C43:M43" si="13">C7</f>
        <v>45261</v>
      </c>
      <c r="D43" s="45">
        <f t="shared" si="13"/>
        <v>45292</v>
      </c>
      <c r="E43" s="45">
        <f t="shared" si="13"/>
        <v>45323</v>
      </c>
      <c r="F43" s="45">
        <f t="shared" si="13"/>
        <v>45352</v>
      </c>
      <c r="G43" s="45">
        <f t="shared" si="13"/>
        <v>45383</v>
      </c>
      <c r="H43" s="45">
        <f t="shared" si="13"/>
        <v>45413</v>
      </c>
      <c r="I43" s="45">
        <f t="shared" si="13"/>
        <v>45444</v>
      </c>
      <c r="J43" s="45">
        <f t="shared" si="13"/>
        <v>45474</v>
      </c>
      <c r="K43" s="45">
        <f t="shared" si="13"/>
        <v>45505</v>
      </c>
      <c r="L43" s="45">
        <f t="shared" si="13"/>
        <v>45536</v>
      </c>
      <c r="M43" s="45">
        <f t="shared" si="13"/>
        <v>45566</v>
      </c>
      <c r="N43" s="46" t="s">
        <v>2</v>
      </c>
    </row>
    <row r="44" spans="1:14" x14ac:dyDescent="0.25">
      <c r="A44" s="42">
        <v>16</v>
      </c>
      <c r="B44" s="47">
        <v>0</v>
      </c>
      <c r="C44" s="47">
        <v>0</v>
      </c>
      <c r="D44" s="47">
        <v>0</v>
      </c>
      <c r="E44" s="47">
        <v>0</v>
      </c>
      <c r="F44" s="47">
        <v>0</v>
      </c>
      <c r="G44" s="47">
        <v>0</v>
      </c>
      <c r="H44" s="47">
        <v>0</v>
      </c>
      <c r="I44" s="47">
        <v>0</v>
      </c>
      <c r="J44" s="47">
        <v>0</v>
      </c>
      <c r="K44" s="47">
        <v>0</v>
      </c>
      <c r="L44" s="47">
        <v>0</v>
      </c>
      <c r="M44" s="47">
        <v>0</v>
      </c>
      <c r="N44" s="48">
        <f>SUM(B44:M44)</f>
        <v>0</v>
      </c>
    </row>
    <row r="45" spans="1:14" x14ac:dyDescent="0.25">
      <c r="A45" s="42">
        <v>23</v>
      </c>
      <c r="B45" s="47">
        <v>0</v>
      </c>
      <c r="C45" s="47">
        <v>0</v>
      </c>
      <c r="D45" s="47">
        <v>0</v>
      </c>
      <c r="E45" s="47">
        <v>0</v>
      </c>
      <c r="F45" s="47">
        <v>0</v>
      </c>
      <c r="G45" s="47">
        <v>0</v>
      </c>
      <c r="H45" s="47">
        <v>0</v>
      </c>
      <c r="I45" s="47">
        <v>0</v>
      </c>
      <c r="J45" s="47">
        <v>0</v>
      </c>
      <c r="K45" s="47">
        <v>0</v>
      </c>
      <c r="L45" s="47">
        <v>0</v>
      </c>
      <c r="M45" s="47">
        <v>0</v>
      </c>
      <c r="N45" s="48">
        <f t="shared" ref="N45:N57" si="14">SUM(B45:M45)</f>
        <v>0</v>
      </c>
    </row>
    <row r="46" spans="1:14" x14ac:dyDescent="0.25">
      <c r="A46" s="42">
        <v>53</v>
      </c>
      <c r="B46" s="47">
        <v>0</v>
      </c>
      <c r="C46" s="47">
        <v>0</v>
      </c>
      <c r="D46" s="47">
        <v>0</v>
      </c>
      <c r="E46" s="47">
        <v>0</v>
      </c>
      <c r="F46" s="47">
        <v>0</v>
      </c>
      <c r="G46" s="47">
        <v>0</v>
      </c>
      <c r="H46" s="47">
        <v>0</v>
      </c>
      <c r="I46" s="47">
        <v>0</v>
      </c>
      <c r="J46" s="47">
        <v>0</v>
      </c>
      <c r="K46" s="47">
        <v>0</v>
      </c>
      <c r="L46" s="47">
        <v>0</v>
      </c>
      <c r="M46" s="47">
        <v>0</v>
      </c>
      <c r="N46" s="48">
        <f t="shared" si="14"/>
        <v>0</v>
      </c>
    </row>
    <row r="47" spans="1:14" x14ac:dyDescent="0.25">
      <c r="A47" s="42">
        <v>31</v>
      </c>
      <c r="B47" s="47">
        <v>530797.10495036247</v>
      </c>
      <c r="C47" s="47">
        <v>647843.24937920109</v>
      </c>
      <c r="D47" s="47">
        <v>564188.705905832</v>
      </c>
      <c r="E47" s="47">
        <v>509696.31033479952</v>
      </c>
      <c r="F47" s="47">
        <v>452827.38908046164</v>
      </c>
      <c r="G47" s="47">
        <v>324023.03582350543</v>
      </c>
      <c r="H47" s="47">
        <v>235929.73231276398</v>
      </c>
      <c r="I47" s="47">
        <v>189197.40594388405</v>
      </c>
      <c r="J47" s="47">
        <v>161492.50427388455</v>
      </c>
      <c r="K47" s="47">
        <v>177447.91272589509</v>
      </c>
      <c r="L47" s="47">
        <v>218446.02933587052</v>
      </c>
      <c r="M47" s="47">
        <v>369968.36717540928</v>
      </c>
      <c r="N47" s="48">
        <f t="shared" si="14"/>
        <v>4381857.7472418696</v>
      </c>
    </row>
    <row r="48" spans="1:14" x14ac:dyDescent="0.25">
      <c r="A48" s="42">
        <v>41</v>
      </c>
      <c r="B48" s="47">
        <v>0</v>
      </c>
      <c r="C48" s="47">
        <v>0</v>
      </c>
      <c r="D48" s="47">
        <v>0</v>
      </c>
      <c r="E48" s="47">
        <v>0</v>
      </c>
      <c r="F48" s="47">
        <v>0</v>
      </c>
      <c r="G48" s="47">
        <v>0</v>
      </c>
      <c r="H48" s="47">
        <v>0</v>
      </c>
      <c r="I48" s="47">
        <v>0</v>
      </c>
      <c r="J48" s="47">
        <v>0</v>
      </c>
      <c r="K48" s="47">
        <v>0</v>
      </c>
      <c r="L48" s="47">
        <v>0</v>
      </c>
      <c r="M48" s="47">
        <v>0</v>
      </c>
      <c r="N48" s="48">
        <f t="shared" si="14"/>
        <v>0</v>
      </c>
    </row>
    <row r="49" spans="1:14" x14ac:dyDescent="0.25">
      <c r="A49" s="42">
        <v>85</v>
      </c>
      <c r="B49" s="47">
        <v>258986.02440906694</v>
      </c>
      <c r="C49" s="47">
        <v>305431.7087454063</v>
      </c>
      <c r="D49" s="47">
        <v>264390.10644984507</v>
      </c>
      <c r="E49" s="47">
        <v>263477.22236630879</v>
      </c>
      <c r="F49" s="47">
        <v>255758.45107949746</v>
      </c>
      <c r="G49" s="47">
        <v>219929.8582191435</v>
      </c>
      <c r="H49" s="47">
        <v>220418.283434941</v>
      </c>
      <c r="I49" s="47">
        <v>203124.55975356663</v>
      </c>
      <c r="J49" s="47">
        <v>205192.30914430326</v>
      </c>
      <c r="K49" s="47">
        <v>222572.80887924571</v>
      </c>
      <c r="L49" s="47">
        <v>195184.46820822635</v>
      </c>
      <c r="M49" s="47">
        <v>238793.31938763423</v>
      </c>
      <c r="N49" s="48">
        <f t="shared" si="14"/>
        <v>2853259.1200771849</v>
      </c>
    </row>
    <row r="50" spans="1:14" x14ac:dyDescent="0.25">
      <c r="A50" s="42">
        <v>86</v>
      </c>
      <c r="B50" s="47">
        <v>0</v>
      </c>
      <c r="C50" s="47">
        <v>0</v>
      </c>
      <c r="D50" s="47">
        <v>0</v>
      </c>
      <c r="E50" s="47">
        <v>0</v>
      </c>
      <c r="F50" s="47">
        <v>0</v>
      </c>
      <c r="G50" s="47">
        <v>0</v>
      </c>
      <c r="H50" s="47">
        <v>0</v>
      </c>
      <c r="I50" s="47">
        <v>0</v>
      </c>
      <c r="J50" s="47">
        <v>0</v>
      </c>
      <c r="K50" s="47">
        <v>0</v>
      </c>
      <c r="L50" s="47">
        <v>0</v>
      </c>
      <c r="M50" s="47">
        <v>0</v>
      </c>
      <c r="N50" s="48">
        <f t="shared" si="14"/>
        <v>0</v>
      </c>
    </row>
    <row r="51" spans="1:14" x14ac:dyDescent="0.25">
      <c r="A51" s="42">
        <v>87</v>
      </c>
      <c r="B51" s="47">
        <v>370222.67605591624</v>
      </c>
      <c r="C51" s="47">
        <v>440230.71772886044</v>
      </c>
      <c r="D51" s="47">
        <v>330472.40679766092</v>
      </c>
      <c r="E51" s="47">
        <v>328372.28254102479</v>
      </c>
      <c r="F51" s="47">
        <v>314810.56996262545</v>
      </c>
      <c r="G51" s="47">
        <v>252409.62904237834</v>
      </c>
      <c r="H51" s="47">
        <v>271691.96634212387</v>
      </c>
      <c r="I51" s="47">
        <v>244478.90612534873</v>
      </c>
      <c r="J51" s="47">
        <v>265518.12659864803</v>
      </c>
      <c r="K51" s="47">
        <v>289898.14295191155</v>
      </c>
      <c r="L51" s="47">
        <v>270225.04718789138</v>
      </c>
      <c r="M51" s="47">
        <v>372376.6173465543</v>
      </c>
      <c r="N51" s="48">
        <f t="shared" si="14"/>
        <v>3750707.0886809435</v>
      </c>
    </row>
    <row r="52" spans="1:14" x14ac:dyDescent="0.25">
      <c r="A52" s="42" t="s">
        <v>27</v>
      </c>
      <c r="B52" s="47">
        <v>0</v>
      </c>
      <c r="C52" s="47">
        <v>0</v>
      </c>
      <c r="D52" s="47">
        <v>0</v>
      </c>
      <c r="E52" s="47">
        <v>0</v>
      </c>
      <c r="F52" s="47">
        <v>0</v>
      </c>
      <c r="G52" s="47">
        <v>0</v>
      </c>
      <c r="H52" s="47">
        <v>0</v>
      </c>
      <c r="I52" s="47">
        <v>0</v>
      </c>
      <c r="J52" s="47">
        <v>0</v>
      </c>
      <c r="K52" s="47">
        <v>0</v>
      </c>
      <c r="L52" s="47">
        <v>0</v>
      </c>
      <c r="M52" s="47">
        <v>0</v>
      </c>
      <c r="N52" s="48">
        <f t="shared" si="14"/>
        <v>0</v>
      </c>
    </row>
    <row r="53" spans="1:14" x14ac:dyDescent="0.25">
      <c r="A53" s="42" t="s">
        <v>29</v>
      </c>
      <c r="B53" s="47">
        <v>0</v>
      </c>
      <c r="C53" s="47">
        <v>0</v>
      </c>
      <c r="D53" s="47">
        <v>0</v>
      </c>
      <c r="E53" s="47">
        <v>0</v>
      </c>
      <c r="F53" s="47">
        <v>0</v>
      </c>
      <c r="G53" s="47">
        <v>0</v>
      </c>
      <c r="H53" s="47">
        <v>0</v>
      </c>
      <c r="I53" s="47">
        <v>0</v>
      </c>
      <c r="J53" s="47">
        <v>0</v>
      </c>
      <c r="K53" s="47">
        <v>0</v>
      </c>
      <c r="L53" s="47">
        <v>0</v>
      </c>
      <c r="M53" s="47">
        <v>0</v>
      </c>
      <c r="N53" s="48">
        <f t="shared" si="14"/>
        <v>0</v>
      </c>
    </row>
    <row r="54" spans="1:14" x14ac:dyDescent="0.25">
      <c r="A54" s="42" t="s">
        <v>31</v>
      </c>
      <c r="B54" s="47">
        <v>0</v>
      </c>
      <c r="C54" s="47">
        <v>0</v>
      </c>
      <c r="D54" s="47">
        <v>0</v>
      </c>
      <c r="E54" s="47">
        <v>0</v>
      </c>
      <c r="F54" s="47">
        <v>0</v>
      </c>
      <c r="G54" s="47">
        <v>0</v>
      </c>
      <c r="H54" s="47">
        <v>0</v>
      </c>
      <c r="I54" s="47">
        <v>0</v>
      </c>
      <c r="J54" s="47">
        <v>0</v>
      </c>
      <c r="K54" s="47">
        <v>0</v>
      </c>
      <c r="L54" s="47">
        <v>0</v>
      </c>
      <c r="M54" s="47">
        <v>0</v>
      </c>
      <c r="N54" s="48">
        <f t="shared" si="14"/>
        <v>0</v>
      </c>
    </row>
    <row r="55" spans="1:14" x14ac:dyDescent="0.25">
      <c r="A55" s="42" t="s">
        <v>33</v>
      </c>
      <c r="B55" s="47">
        <v>0</v>
      </c>
      <c r="C55" s="47">
        <v>0</v>
      </c>
      <c r="D55" s="47">
        <v>0</v>
      </c>
      <c r="E55" s="47">
        <v>0</v>
      </c>
      <c r="F55" s="47">
        <v>0</v>
      </c>
      <c r="G55" s="47">
        <v>0</v>
      </c>
      <c r="H55" s="47">
        <v>0</v>
      </c>
      <c r="I55" s="47">
        <v>0</v>
      </c>
      <c r="J55" s="47">
        <v>0</v>
      </c>
      <c r="K55" s="47">
        <v>0</v>
      </c>
      <c r="L55" s="47">
        <v>0</v>
      </c>
      <c r="M55" s="47">
        <v>0</v>
      </c>
      <c r="N55" s="48">
        <f t="shared" si="14"/>
        <v>0</v>
      </c>
    </row>
    <row r="56" spans="1:14" x14ac:dyDescent="0.25">
      <c r="A56" s="42" t="s">
        <v>35</v>
      </c>
      <c r="B56" s="47">
        <v>0</v>
      </c>
      <c r="C56" s="47">
        <v>0</v>
      </c>
      <c r="D56" s="47">
        <v>0</v>
      </c>
      <c r="E56" s="47">
        <v>0</v>
      </c>
      <c r="F56" s="47">
        <v>0</v>
      </c>
      <c r="G56" s="47">
        <v>0</v>
      </c>
      <c r="H56" s="47">
        <v>0</v>
      </c>
      <c r="I56" s="47">
        <v>0</v>
      </c>
      <c r="J56" s="47">
        <v>0</v>
      </c>
      <c r="K56" s="47">
        <v>0</v>
      </c>
      <c r="L56" s="47">
        <v>0</v>
      </c>
      <c r="M56" s="47">
        <v>0</v>
      </c>
      <c r="N56" s="48">
        <f t="shared" si="14"/>
        <v>0</v>
      </c>
    </row>
    <row r="57" spans="1:14" x14ac:dyDescent="0.25">
      <c r="A57" s="49" t="s">
        <v>36</v>
      </c>
      <c r="B57" s="47">
        <v>0</v>
      </c>
      <c r="C57" s="47">
        <v>0</v>
      </c>
      <c r="D57" s="47">
        <v>0</v>
      </c>
      <c r="E57" s="47">
        <v>0</v>
      </c>
      <c r="F57" s="47">
        <v>0</v>
      </c>
      <c r="G57" s="47">
        <v>0</v>
      </c>
      <c r="H57" s="47">
        <v>0</v>
      </c>
      <c r="I57" s="47">
        <v>0</v>
      </c>
      <c r="J57" s="47">
        <v>0</v>
      </c>
      <c r="K57" s="47">
        <v>0</v>
      </c>
      <c r="L57" s="47">
        <v>0</v>
      </c>
      <c r="M57" s="47">
        <v>0</v>
      </c>
      <c r="N57" s="48">
        <f t="shared" si="14"/>
        <v>0</v>
      </c>
    </row>
    <row r="58" spans="1:14" x14ac:dyDescent="0.25">
      <c r="A58" s="50" t="s">
        <v>2</v>
      </c>
      <c r="B58" s="51">
        <f>SUM(B44:B57)</f>
        <v>1160005.8054153458</v>
      </c>
      <c r="C58" s="51">
        <f t="shared" ref="C58:N58" si="15">SUM(C44:C57)</f>
        <v>1393505.6758534678</v>
      </c>
      <c r="D58" s="51">
        <f t="shared" si="15"/>
        <v>1159051.2191533381</v>
      </c>
      <c r="E58" s="51">
        <f t="shared" si="15"/>
        <v>1101545.8152421331</v>
      </c>
      <c r="F58" s="51">
        <f t="shared" si="15"/>
        <v>1023396.4101225846</v>
      </c>
      <c r="G58" s="51">
        <f t="shared" si="15"/>
        <v>796362.52308502723</v>
      </c>
      <c r="H58" s="51">
        <f t="shared" si="15"/>
        <v>728039.98208982893</v>
      </c>
      <c r="I58" s="51">
        <f t="shared" si="15"/>
        <v>636800.87182279944</v>
      </c>
      <c r="J58" s="51">
        <f t="shared" si="15"/>
        <v>632202.94001683581</v>
      </c>
      <c r="K58" s="51">
        <f t="shared" si="15"/>
        <v>689918.86455705238</v>
      </c>
      <c r="L58" s="51">
        <f t="shared" si="15"/>
        <v>683855.54473198834</v>
      </c>
      <c r="M58" s="51">
        <f t="shared" si="15"/>
        <v>981138.3039095978</v>
      </c>
      <c r="N58" s="51">
        <f t="shared" si="15"/>
        <v>10985823.955999998</v>
      </c>
    </row>
    <row r="60" spans="1:14" ht="17.25" x14ac:dyDescent="0.25">
      <c r="A60" s="53" t="s">
        <v>81</v>
      </c>
    </row>
    <row r="61" spans="1:14" x14ac:dyDescent="0.25">
      <c r="A61" s="43" t="s">
        <v>52</v>
      </c>
      <c r="B61" s="45">
        <f>B7</f>
        <v>45231</v>
      </c>
      <c r="C61" s="45">
        <f t="shared" ref="C61:M61" si="16">C7</f>
        <v>45261</v>
      </c>
      <c r="D61" s="45">
        <f t="shared" si="16"/>
        <v>45292</v>
      </c>
      <c r="E61" s="45">
        <f t="shared" si="16"/>
        <v>45323</v>
      </c>
      <c r="F61" s="45">
        <f t="shared" si="16"/>
        <v>45352</v>
      </c>
      <c r="G61" s="45">
        <f t="shared" si="16"/>
        <v>45383</v>
      </c>
      <c r="H61" s="45">
        <f t="shared" si="16"/>
        <v>45413</v>
      </c>
      <c r="I61" s="45">
        <f t="shared" si="16"/>
        <v>45444</v>
      </c>
      <c r="J61" s="45">
        <f t="shared" si="16"/>
        <v>45474</v>
      </c>
      <c r="K61" s="45">
        <f t="shared" si="16"/>
        <v>45505</v>
      </c>
      <c r="L61" s="45">
        <f t="shared" si="16"/>
        <v>45536</v>
      </c>
      <c r="M61" s="45">
        <f t="shared" si="16"/>
        <v>45566</v>
      </c>
      <c r="N61" s="46" t="s">
        <v>2</v>
      </c>
    </row>
    <row r="62" spans="1:14" x14ac:dyDescent="0.25">
      <c r="A62" s="42">
        <v>16</v>
      </c>
      <c r="B62" s="47">
        <v>0</v>
      </c>
      <c r="C62" s="47">
        <v>0</v>
      </c>
      <c r="D62" s="47">
        <v>0</v>
      </c>
      <c r="E62" s="47">
        <v>0</v>
      </c>
      <c r="F62" s="47">
        <v>0</v>
      </c>
      <c r="G62" s="47">
        <v>0</v>
      </c>
      <c r="H62" s="47">
        <v>0</v>
      </c>
      <c r="I62" s="47">
        <v>0</v>
      </c>
      <c r="J62" s="47">
        <v>0</v>
      </c>
      <c r="K62" s="47">
        <v>0</v>
      </c>
      <c r="L62" s="47">
        <v>0</v>
      </c>
      <c r="M62" s="47">
        <v>0</v>
      </c>
      <c r="N62" s="48">
        <f>SUM(B62:M62)</f>
        <v>0</v>
      </c>
    </row>
    <row r="63" spans="1:14" x14ac:dyDescent="0.25">
      <c r="A63" s="42">
        <v>23</v>
      </c>
      <c r="B63" s="47">
        <v>0</v>
      </c>
      <c r="C63" s="47">
        <v>0</v>
      </c>
      <c r="D63" s="47">
        <v>0</v>
      </c>
      <c r="E63" s="47">
        <v>0</v>
      </c>
      <c r="F63" s="47">
        <v>0</v>
      </c>
      <c r="G63" s="47">
        <v>0</v>
      </c>
      <c r="H63" s="47">
        <v>0</v>
      </c>
      <c r="I63" s="47">
        <v>0</v>
      </c>
      <c r="J63" s="47">
        <v>0</v>
      </c>
      <c r="K63" s="47">
        <v>0</v>
      </c>
      <c r="L63" s="47">
        <v>0</v>
      </c>
      <c r="M63" s="47">
        <v>0</v>
      </c>
      <c r="N63" s="48">
        <f t="shared" ref="N63:N75" si="17">SUM(B63:M63)</f>
        <v>0</v>
      </c>
    </row>
    <row r="64" spans="1:14" x14ac:dyDescent="0.25">
      <c r="A64" s="42">
        <v>53</v>
      </c>
      <c r="B64" s="47">
        <v>0</v>
      </c>
      <c r="C64" s="47">
        <v>0</v>
      </c>
      <c r="D64" s="47">
        <v>0</v>
      </c>
      <c r="E64" s="47">
        <v>0</v>
      </c>
      <c r="F64" s="47">
        <v>0</v>
      </c>
      <c r="G64" s="47">
        <v>0</v>
      </c>
      <c r="H64" s="47">
        <v>0</v>
      </c>
      <c r="I64" s="47">
        <v>0</v>
      </c>
      <c r="J64" s="47">
        <v>0</v>
      </c>
      <c r="K64" s="47">
        <v>0</v>
      </c>
      <c r="L64" s="47">
        <v>0</v>
      </c>
      <c r="M64" s="47">
        <v>0</v>
      </c>
      <c r="N64" s="48">
        <f t="shared" si="17"/>
        <v>0</v>
      </c>
    </row>
    <row r="65" spans="1:14" x14ac:dyDescent="0.25">
      <c r="A65" s="42">
        <v>31</v>
      </c>
      <c r="B65" s="47">
        <v>0</v>
      </c>
      <c r="C65" s="47">
        <v>0</v>
      </c>
      <c r="D65" s="47">
        <v>0</v>
      </c>
      <c r="E65" s="47">
        <v>0</v>
      </c>
      <c r="F65" s="47">
        <v>0</v>
      </c>
      <c r="G65" s="47">
        <v>0</v>
      </c>
      <c r="H65" s="47">
        <v>0</v>
      </c>
      <c r="I65" s="47">
        <v>0</v>
      </c>
      <c r="J65" s="47">
        <v>0</v>
      </c>
      <c r="K65" s="47">
        <v>0</v>
      </c>
      <c r="L65" s="47">
        <v>0</v>
      </c>
      <c r="M65" s="47">
        <v>0</v>
      </c>
      <c r="N65" s="48">
        <f t="shared" si="17"/>
        <v>0</v>
      </c>
    </row>
    <row r="66" spans="1:14" x14ac:dyDescent="0.25">
      <c r="A66" s="42">
        <v>41</v>
      </c>
      <c r="B66" s="47">
        <v>0</v>
      </c>
      <c r="C66" s="47">
        <v>0</v>
      </c>
      <c r="D66" s="47">
        <v>0</v>
      </c>
      <c r="E66" s="47">
        <v>0</v>
      </c>
      <c r="F66" s="47">
        <v>0</v>
      </c>
      <c r="G66" s="47">
        <v>0</v>
      </c>
      <c r="H66" s="47">
        <v>0</v>
      </c>
      <c r="I66" s="47">
        <v>0</v>
      </c>
      <c r="J66" s="47">
        <v>0</v>
      </c>
      <c r="K66" s="47">
        <v>0</v>
      </c>
      <c r="L66" s="47">
        <v>0</v>
      </c>
      <c r="M66" s="47">
        <v>0</v>
      </c>
      <c r="N66" s="48">
        <f t="shared" si="17"/>
        <v>0</v>
      </c>
    </row>
    <row r="67" spans="1:14" x14ac:dyDescent="0.25">
      <c r="A67" s="42">
        <v>85</v>
      </c>
      <c r="B67" s="47">
        <v>0</v>
      </c>
      <c r="C67" s="47">
        <v>0</v>
      </c>
      <c r="D67" s="47">
        <v>0</v>
      </c>
      <c r="E67" s="47">
        <v>0</v>
      </c>
      <c r="F67" s="47">
        <v>0</v>
      </c>
      <c r="G67" s="47">
        <v>0</v>
      </c>
      <c r="H67" s="47">
        <v>0</v>
      </c>
      <c r="I67" s="47">
        <v>0</v>
      </c>
      <c r="J67" s="47">
        <v>0</v>
      </c>
      <c r="K67" s="47">
        <v>0</v>
      </c>
      <c r="L67" s="47">
        <v>0</v>
      </c>
      <c r="M67" s="47">
        <v>0</v>
      </c>
      <c r="N67" s="48">
        <f t="shared" si="17"/>
        <v>0</v>
      </c>
    </row>
    <row r="68" spans="1:14" x14ac:dyDescent="0.25">
      <c r="A68" s="42">
        <v>86</v>
      </c>
      <c r="B68" s="47">
        <v>0</v>
      </c>
      <c r="C68" s="47">
        <v>0</v>
      </c>
      <c r="D68" s="47">
        <v>0</v>
      </c>
      <c r="E68" s="47">
        <v>0</v>
      </c>
      <c r="F68" s="47">
        <v>0</v>
      </c>
      <c r="G68" s="47">
        <v>0</v>
      </c>
      <c r="H68" s="47">
        <v>0</v>
      </c>
      <c r="I68" s="47">
        <v>0</v>
      </c>
      <c r="J68" s="47">
        <v>0</v>
      </c>
      <c r="K68" s="47">
        <v>0</v>
      </c>
      <c r="L68" s="47">
        <v>0</v>
      </c>
      <c r="M68" s="47">
        <v>0</v>
      </c>
      <c r="N68" s="48">
        <f t="shared" si="17"/>
        <v>0</v>
      </c>
    </row>
    <row r="69" spans="1:14" x14ac:dyDescent="0.25">
      <c r="A69" s="42">
        <v>87</v>
      </c>
      <c r="B69" s="47">
        <v>0</v>
      </c>
      <c r="C69" s="47">
        <v>0</v>
      </c>
      <c r="D69" s="47">
        <v>0</v>
      </c>
      <c r="E69" s="47">
        <v>0</v>
      </c>
      <c r="F69" s="47">
        <v>0</v>
      </c>
      <c r="G69" s="47">
        <v>0</v>
      </c>
      <c r="H69" s="47">
        <v>0</v>
      </c>
      <c r="I69" s="47">
        <v>0</v>
      </c>
      <c r="J69" s="47">
        <v>0</v>
      </c>
      <c r="K69" s="47">
        <v>0</v>
      </c>
      <c r="L69" s="47">
        <v>0</v>
      </c>
      <c r="M69" s="47">
        <v>0</v>
      </c>
      <c r="N69" s="48">
        <f t="shared" si="17"/>
        <v>0</v>
      </c>
    </row>
    <row r="70" spans="1:14" x14ac:dyDescent="0.25">
      <c r="A70" s="42" t="s">
        <v>27</v>
      </c>
      <c r="B70" s="47">
        <v>0</v>
      </c>
      <c r="C70" s="47">
        <v>0</v>
      </c>
      <c r="D70" s="47">
        <v>0</v>
      </c>
      <c r="E70" s="47">
        <v>0</v>
      </c>
      <c r="F70" s="47">
        <v>0</v>
      </c>
      <c r="G70" s="47">
        <v>0</v>
      </c>
      <c r="H70" s="47">
        <v>0</v>
      </c>
      <c r="I70" s="47">
        <v>0</v>
      </c>
      <c r="J70" s="47">
        <v>0</v>
      </c>
      <c r="K70" s="47">
        <v>0</v>
      </c>
      <c r="L70" s="47">
        <v>0</v>
      </c>
      <c r="M70" s="47">
        <v>0</v>
      </c>
      <c r="N70" s="48">
        <f t="shared" si="17"/>
        <v>0</v>
      </c>
    </row>
    <row r="71" spans="1:14" x14ac:dyDescent="0.25">
      <c r="A71" s="42" t="s">
        <v>29</v>
      </c>
      <c r="B71" s="47">
        <v>0</v>
      </c>
      <c r="C71" s="47">
        <v>0</v>
      </c>
      <c r="D71" s="47">
        <v>0</v>
      </c>
      <c r="E71" s="47">
        <v>0</v>
      </c>
      <c r="F71" s="47">
        <v>0</v>
      </c>
      <c r="G71" s="47">
        <v>0</v>
      </c>
      <c r="H71" s="47">
        <v>0</v>
      </c>
      <c r="I71" s="47">
        <v>0</v>
      </c>
      <c r="J71" s="47">
        <v>0</v>
      </c>
      <c r="K71" s="47">
        <v>0</v>
      </c>
      <c r="L71" s="47">
        <v>0</v>
      </c>
      <c r="M71" s="47">
        <v>0</v>
      </c>
      <c r="N71" s="48">
        <f t="shared" si="17"/>
        <v>0</v>
      </c>
    </row>
    <row r="72" spans="1:14" x14ac:dyDescent="0.25">
      <c r="A72" s="42" t="s">
        <v>31</v>
      </c>
      <c r="B72" s="47">
        <v>0</v>
      </c>
      <c r="C72" s="47">
        <v>0</v>
      </c>
      <c r="D72" s="47">
        <v>0</v>
      </c>
      <c r="E72" s="47">
        <v>0</v>
      </c>
      <c r="F72" s="47">
        <v>0</v>
      </c>
      <c r="G72" s="47">
        <v>0</v>
      </c>
      <c r="H72" s="47">
        <v>0</v>
      </c>
      <c r="I72" s="47">
        <v>0</v>
      </c>
      <c r="J72" s="47">
        <v>0</v>
      </c>
      <c r="K72" s="47">
        <v>0</v>
      </c>
      <c r="L72" s="47">
        <v>0</v>
      </c>
      <c r="M72" s="47">
        <v>0</v>
      </c>
      <c r="N72" s="48">
        <f t="shared" si="17"/>
        <v>0</v>
      </c>
    </row>
    <row r="73" spans="1:14" x14ac:dyDescent="0.25">
      <c r="A73" s="42" t="s">
        <v>33</v>
      </c>
      <c r="B73" s="47">
        <v>0</v>
      </c>
      <c r="C73" s="47">
        <v>0</v>
      </c>
      <c r="D73" s="47">
        <v>0</v>
      </c>
      <c r="E73" s="47">
        <v>0</v>
      </c>
      <c r="F73" s="47">
        <v>0</v>
      </c>
      <c r="G73" s="47">
        <v>0</v>
      </c>
      <c r="H73" s="47">
        <v>0</v>
      </c>
      <c r="I73" s="47">
        <v>0</v>
      </c>
      <c r="J73" s="47">
        <v>0</v>
      </c>
      <c r="K73" s="47">
        <v>0</v>
      </c>
      <c r="L73" s="47">
        <v>0</v>
      </c>
      <c r="M73" s="47">
        <v>0</v>
      </c>
      <c r="N73" s="48">
        <f t="shared" si="17"/>
        <v>0</v>
      </c>
    </row>
    <row r="74" spans="1:14" x14ac:dyDescent="0.25">
      <c r="A74" s="42" t="s">
        <v>35</v>
      </c>
      <c r="B74" s="47">
        <v>0</v>
      </c>
      <c r="C74" s="47">
        <v>0</v>
      </c>
      <c r="D74" s="47">
        <v>0</v>
      </c>
      <c r="E74" s="47">
        <v>0</v>
      </c>
      <c r="F74" s="47">
        <v>0</v>
      </c>
      <c r="G74" s="47">
        <v>0</v>
      </c>
      <c r="H74" s="47">
        <v>0</v>
      </c>
      <c r="I74" s="47">
        <v>0</v>
      </c>
      <c r="J74" s="47">
        <v>0</v>
      </c>
      <c r="K74" s="47">
        <v>0</v>
      </c>
      <c r="L74" s="47">
        <v>0</v>
      </c>
      <c r="M74" s="47">
        <v>0</v>
      </c>
      <c r="N74" s="48">
        <f t="shared" si="17"/>
        <v>0</v>
      </c>
    </row>
    <row r="75" spans="1:14" x14ac:dyDescent="0.25">
      <c r="A75" s="49" t="s">
        <v>36</v>
      </c>
      <c r="B75" s="47">
        <v>0</v>
      </c>
      <c r="C75" s="47">
        <v>0</v>
      </c>
      <c r="D75" s="47">
        <v>0</v>
      </c>
      <c r="E75" s="47">
        <v>0</v>
      </c>
      <c r="F75" s="47">
        <v>0</v>
      </c>
      <c r="G75" s="47">
        <v>0</v>
      </c>
      <c r="H75" s="47">
        <v>0</v>
      </c>
      <c r="I75" s="47">
        <v>0</v>
      </c>
      <c r="J75" s="47">
        <v>0</v>
      </c>
      <c r="K75" s="47">
        <v>0</v>
      </c>
      <c r="L75" s="47">
        <v>0</v>
      </c>
      <c r="M75" s="47">
        <v>0</v>
      </c>
      <c r="N75" s="48">
        <f t="shared" si="17"/>
        <v>0</v>
      </c>
    </row>
    <row r="76" spans="1:14" x14ac:dyDescent="0.25">
      <c r="A76" s="50" t="s">
        <v>2</v>
      </c>
      <c r="B76" s="51">
        <f>SUM(B62:B75)</f>
        <v>0</v>
      </c>
      <c r="C76" s="51">
        <f t="shared" ref="C76:N76" si="18">SUM(C62:C75)</f>
        <v>0</v>
      </c>
      <c r="D76" s="51">
        <f t="shared" si="18"/>
        <v>0</v>
      </c>
      <c r="E76" s="51">
        <f t="shared" si="18"/>
        <v>0</v>
      </c>
      <c r="F76" s="51">
        <f t="shared" si="18"/>
        <v>0</v>
      </c>
      <c r="G76" s="51">
        <f t="shared" si="18"/>
        <v>0</v>
      </c>
      <c r="H76" s="51">
        <f t="shared" si="18"/>
        <v>0</v>
      </c>
      <c r="I76" s="51">
        <f t="shared" si="18"/>
        <v>0</v>
      </c>
      <c r="J76" s="51">
        <f t="shared" si="18"/>
        <v>0</v>
      </c>
      <c r="K76" s="51">
        <f t="shared" si="18"/>
        <v>0</v>
      </c>
      <c r="L76" s="51">
        <f t="shared" si="18"/>
        <v>0</v>
      </c>
      <c r="M76" s="51">
        <f t="shared" si="18"/>
        <v>0</v>
      </c>
      <c r="N76" s="51">
        <f t="shared" si="18"/>
        <v>0</v>
      </c>
    </row>
    <row r="78" spans="1:14" x14ac:dyDescent="0.25">
      <c r="A78" s="53" t="s">
        <v>56</v>
      </c>
    </row>
    <row r="79" spans="1:14" x14ac:dyDescent="0.25">
      <c r="A79" s="43" t="s">
        <v>52</v>
      </c>
      <c r="B79" s="45">
        <f>B7</f>
        <v>45231</v>
      </c>
      <c r="C79" s="45">
        <f t="shared" ref="C79:M79" si="19">C7</f>
        <v>45261</v>
      </c>
      <c r="D79" s="45">
        <f t="shared" si="19"/>
        <v>45292</v>
      </c>
      <c r="E79" s="45">
        <f t="shared" si="19"/>
        <v>45323</v>
      </c>
      <c r="F79" s="45">
        <f t="shared" si="19"/>
        <v>45352</v>
      </c>
      <c r="G79" s="45">
        <f t="shared" si="19"/>
        <v>45383</v>
      </c>
      <c r="H79" s="45">
        <f t="shared" si="19"/>
        <v>45413</v>
      </c>
      <c r="I79" s="45">
        <f t="shared" si="19"/>
        <v>45444</v>
      </c>
      <c r="J79" s="45">
        <f t="shared" si="19"/>
        <v>45474</v>
      </c>
      <c r="K79" s="45">
        <f t="shared" si="19"/>
        <v>45505</v>
      </c>
      <c r="L79" s="45">
        <f t="shared" si="19"/>
        <v>45536</v>
      </c>
      <c r="M79" s="45">
        <f t="shared" si="19"/>
        <v>45566</v>
      </c>
      <c r="N79" s="46" t="s">
        <v>2</v>
      </c>
    </row>
    <row r="80" spans="1:14" x14ac:dyDescent="0.25">
      <c r="A80" s="42">
        <v>16</v>
      </c>
      <c r="B80" s="48">
        <f>B8-B26-B44-B62</f>
        <v>583</v>
      </c>
      <c r="C80" s="48">
        <f t="shared" ref="C80:F80" si="20">C8-C26-C44-C62</f>
        <v>583</v>
      </c>
      <c r="D80" s="48">
        <f t="shared" si="20"/>
        <v>583</v>
      </c>
      <c r="E80" s="48">
        <f t="shared" si="20"/>
        <v>583</v>
      </c>
      <c r="F80" s="48">
        <f t="shared" si="20"/>
        <v>583</v>
      </c>
      <c r="G80" s="48">
        <f t="shared" ref="G80:M80" si="21">G8-G26-G44-G62</f>
        <v>583</v>
      </c>
      <c r="H80" s="48">
        <f t="shared" si="21"/>
        <v>583</v>
      </c>
      <c r="I80" s="48">
        <f t="shared" si="21"/>
        <v>583</v>
      </c>
      <c r="J80" s="48">
        <f t="shared" si="21"/>
        <v>583</v>
      </c>
      <c r="K80" s="48">
        <f t="shared" si="21"/>
        <v>583</v>
      </c>
      <c r="L80" s="48">
        <f t="shared" si="21"/>
        <v>583</v>
      </c>
      <c r="M80" s="48">
        <f t="shared" si="21"/>
        <v>583</v>
      </c>
      <c r="N80" s="48">
        <f>SUM(B80:M80)</f>
        <v>6996</v>
      </c>
    </row>
    <row r="81" spans="1:14" x14ac:dyDescent="0.25">
      <c r="A81" s="42">
        <v>23</v>
      </c>
      <c r="B81" s="48">
        <f t="shared" ref="B81:F93" si="22">B9-B27-B45-B63</f>
        <v>65562560</v>
      </c>
      <c r="C81" s="48">
        <f t="shared" si="22"/>
        <v>87632029</v>
      </c>
      <c r="D81" s="48">
        <f t="shared" si="22"/>
        <v>85099134</v>
      </c>
      <c r="E81" s="48">
        <f t="shared" si="22"/>
        <v>74985418</v>
      </c>
      <c r="F81" s="48">
        <f t="shared" si="22"/>
        <v>68653480</v>
      </c>
      <c r="G81" s="48">
        <f t="shared" ref="G81:M81" si="23">G9-G27-G45-G63</f>
        <v>46949280</v>
      </c>
      <c r="H81" s="48">
        <f t="shared" si="23"/>
        <v>27300857</v>
      </c>
      <c r="I81" s="48">
        <f t="shared" si="23"/>
        <v>18661784</v>
      </c>
      <c r="J81" s="48">
        <f t="shared" si="23"/>
        <v>14141387</v>
      </c>
      <c r="K81" s="48">
        <f t="shared" si="23"/>
        <v>13556472</v>
      </c>
      <c r="L81" s="48">
        <f t="shared" si="23"/>
        <v>17856721</v>
      </c>
      <c r="M81" s="48">
        <f t="shared" si="23"/>
        <v>38270559</v>
      </c>
      <c r="N81" s="48">
        <f t="shared" ref="N81:N93" si="24">SUM(B81:M81)</f>
        <v>558669681</v>
      </c>
    </row>
    <row r="82" spans="1:14" x14ac:dyDescent="0.25">
      <c r="A82" s="42">
        <v>53</v>
      </c>
      <c r="B82" s="48">
        <f t="shared" si="22"/>
        <v>0</v>
      </c>
      <c r="C82" s="48">
        <f t="shared" si="22"/>
        <v>0</v>
      </c>
      <c r="D82" s="48">
        <f t="shared" si="22"/>
        <v>0</v>
      </c>
      <c r="E82" s="48">
        <f t="shared" si="22"/>
        <v>0</v>
      </c>
      <c r="F82" s="48">
        <f t="shared" si="22"/>
        <v>0</v>
      </c>
      <c r="G82" s="48">
        <f t="shared" ref="G82:M82" si="25">G10-G28-G46-G64</f>
        <v>0</v>
      </c>
      <c r="H82" s="48">
        <f t="shared" si="25"/>
        <v>0</v>
      </c>
      <c r="I82" s="48">
        <f t="shared" si="25"/>
        <v>0</v>
      </c>
      <c r="J82" s="48">
        <f t="shared" si="25"/>
        <v>0</v>
      </c>
      <c r="K82" s="48">
        <f t="shared" si="25"/>
        <v>0</v>
      </c>
      <c r="L82" s="48">
        <f t="shared" si="25"/>
        <v>0</v>
      </c>
      <c r="M82" s="48">
        <f t="shared" si="25"/>
        <v>0</v>
      </c>
      <c r="N82" s="48">
        <f t="shared" si="24"/>
        <v>0</v>
      </c>
    </row>
    <row r="83" spans="1:14" x14ac:dyDescent="0.25">
      <c r="A83" s="42">
        <v>31</v>
      </c>
      <c r="B83" s="48">
        <f t="shared" si="22"/>
        <v>27520604.648362096</v>
      </c>
      <c r="C83" s="48">
        <f t="shared" si="22"/>
        <v>33589050.278931603</v>
      </c>
      <c r="D83" s="48">
        <f t="shared" si="22"/>
        <v>29251355.142705027</v>
      </c>
      <c r="E83" s="48">
        <f t="shared" si="22"/>
        <v>26426517.114929531</v>
      </c>
      <c r="F83" s="48">
        <f t="shared" si="22"/>
        <v>23478055.711751115</v>
      </c>
      <c r="G83" s="48">
        <f t="shared" ref="G83:M83" si="26">G11-G29-G47-G65</f>
        <v>16799847.072861675</v>
      </c>
      <c r="H83" s="48">
        <f t="shared" si="26"/>
        <v>12232412.466361128</v>
      </c>
      <c r="I83" s="48">
        <f t="shared" si="26"/>
        <v>9809449.128705455</v>
      </c>
      <c r="J83" s="48">
        <f t="shared" si="26"/>
        <v>8373013.8763730126</v>
      </c>
      <c r="K83" s="48">
        <f t="shared" si="26"/>
        <v>9200265.004668802</v>
      </c>
      <c r="L83" s="48">
        <f t="shared" si="26"/>
        <v>11325703.791845709</v>
      </c>
      <c r="M83" s="48">
        <f t="shared" si="26"/>
        <v>19181991.534031525</v>
      </c>
      <c r="N83" s="48">
        <f t="shared" si="24"/>
        <v>227188265.77152669</v>
      </c>
    </row>
    <row r="84" spans="1:14" x14ac:dyDescent="0.25">
      <c r="A84" s="42">
        <v>41</v>
      </c>
      <c r="B84" s="48">
        <f t="shared" si="22"/>
        <v>7452513.2698253645</v>
      </c>
      <c r="C84" s="48">
        <f t="shared" si="22"/>
        <v>8104975.3582860278</v>
      </c>
      <c r="D84" s="48">
        <f t="shared" si="22"/>
        <v>7014204.9915305013</v>
      </c>
      <c r="E84" s="48">
        <f t="shared" si="22"/>
        <v>6718694.5313430056</v>
      </c>
      <c r="F84" s="48">
        <f t="shared" si="22"/>
        <v>6181382.7334208144</v>
      </c>
      <c r="G84" s="48">
        <f t="shared" ref="G84:M84" si="27">G12-G30-G48-G66</f>
        <v>4740030.4189431723</v>
      </c>
      <c r="H84" s="48">
        <f t="shared" si="27"/>
        <v>3787566.5568384579</v>
      </c>
      <c r="I84" s="48">
        <f t="shared" si="27"/>
        <v>3213828.2106442912</v>
      </c>
      <c r="J84" s="48">
        <f t="shared" si="27"/>
        <v>2628299.6675918391</v>
      </c>
      <c r="K84" s="48">
        <f t="shared" si="27"/>
        <v>2875399.7571356129</v>
      </c>
      <c r="L84" s="48">
        <f t="shared" si="27"/>
        <v>3586868.7217884967</v>
      </c>
      <c r="M84" s="48">
        <f t="shared" si="27"/>
        <v>5671314.2448564293</v>
      </c>
      <c r="N84" s="48">
        <f t="shared" si="24"/>
        <v>61975078.462204017</v>
      </c>
    </row>
    <row r="85" spans="1:14" x14ac:dyDescent="0.25">
      <c r="A85" s="42">
        <v>85</v>
      </c>
      <c r="B85" s="48">
        <f t="shared" si="22"/>
        <v>1307893.9755909331</v>
      </c>
      <c r="C85" s="48">
        <f t="shared" si="22"/>
        <v>1542447.2912545938</v>
      </c>
      <c r="D85" s="48">
        <f t="shared" si="22"/>
        <v>1335184.893550155</v>
      </c>
      <c r="E85" s="48">
        <f t="shared" si="22"/>
        <v>1330574.7776336912</v>
      </c>
      <c r="F85" s="48">
        <f t="shared" si="22"/>
        <v>1291594.5489205024</v>
      </c>
      <c r="G85" s="48">
        <f t="shared" ref="G85:M85" si="28">G13-G31-G49-G67</f>
        <v>1110658.1417808565</v>
      </c>
      <c r="H85" s="48">
        <f t="shared" si="28"/>
        <v>1113124.716565059</v>
      </c>
      <c r="I85" s="48">
        <f t="shared" si="28"/>
        <v>1025790.4402464334</v>
      </c>
      <c r="J85" s="48">
        <f t="shared" si="28"/>
        <v>1036232.6908556968</v>
      </c>
      <c r="K85" s="48">
        <f t="shared" si="28"/>
        <v>1124005.1911207542</v>
      </c>
      <c r="L85" s="48">
        <f t="shared" si="28"/>
        <v>985692.53179177362</v>
      </c>
      <c r="M85" s="48">
        <f t="shared" si="28"/>
        <v>1205919.6806123657</v>
      </c>
      <c r="N85" s="48">
        <f t="shared" si="24"/>
        <v>14409118.879922818</v>
      </c>
    </row>
    <row r="86" spans="1:14" x14ac:dyDescent="0.25">
      <c r="A86" s="42">
        <v>86</v>
      </c>
      <c r="B86" s="48">
        <f t="shared" si="22"/>
        <v>520057</v>
      </c>
      <c r="C86" s="48">
        <f t="shared" si="22"/>
        <v>815418</v>
      </c>
      <c r="D86" s="48">
        <f t="shared" si="22"/>
        <v>702664</v>
      </c>
      <c r="E86" s="48">
        <f t="shared" si="22"/>
        <v>693062</v>
      </c>
      <c r="F86" s="48">
        <f t="shared" si="22"/>
        <v>665938</v>
      </c>
      <c r="G86" s="48">
        <f t="shared" ref="G86:M86" si="29">G14-G32-G50-G68</f>
        <v>468531</v>
      </c>
      <c r="H86" s="48">
        <f t="shared" si="29"/>
        <v>388605</v>
      </c>
      <c r="I86" s="48">
        <f t="shared" si="29"/>
        <v>222624</v>
      </c>
      <c r="J86" s="48">
        <f t="shared" si="29"/>
        <v>99487</v>
      </c>
      <c r="K86" s="48">
        <f t="shared" si="29"/>
        <v>17695</v>
      </c>
      <c r="L86" s="48">
        <f t="shared" si="29"/>
        <v>47188</v>
      </c>
      <c r="M86" s="48">
        <f t="shared" si="29"/>
        <v>274533</v>
      </c>
      <c r="N86" s="48">
        <f t="shared" si="24"/>
        <v>4915802</v>
      </c>
    </row>
    <row r="87" spans="1:14" x14ac:dyDescent="0.25">
      <c r="A87" s="42">
        <v>87</v>
      </c>
      <c r="B87" s="48">
        <f t="shared" si="22"/>
        <v>154084.53252606664</v>
      </c>
      <c r="C87" s="48">
        <f t="shared" si="22"/>
        <v>183221.47381005157</v>
      </c>
      <c r="D87" s="48">
        <f t="shared" si="22"/>
        <v>137540.70079297625</v>
      </c>
      <c r="E87" s="48">
        <f t="shared" si="22"/>
        <v>136666.64124649501</v>
      </c>
      <c r="F87" s="48">
        <f t="shared" si="22"/>
        <v>131022.33505445643</v>
      </c>
      <c r="G87" s="48">
        <f t="shared" ref="G87:M87" si="30">G15-G33-G51-G69</f>
        <v>105051.42502454045</v>
      </c>
      <c r="H87" s="48">
        <f t="shared" si="30"/>
        <v>113076.62207754987</v>
      </c>
      <c r="I87" s="48">
        <f t="shared" si="30"/>
        <v>101750.70410089896</v>
      </c>
      <c r="J87" s="48">
        <f t="shared" si="30"/>
        <v>110507.10575051466</v>
      </c>
      <c r="K87" s="48">
        <f t="shared" si="30"/>
        <v>120653.92728719208</v>
      </c>
      <c r="L87" s="48">
        <f t="shared" si="30"/>
        <v>112466.09882559389</v>
      </c>
      <c r="M87" s="48">
        <f t="shared" si="30"/>
        <v>154980.99041025736</v>
      </c>
      <c r="N87" s="48">
        <f t="shared" si="24"/>
        <v>1561022.556906593</v>
      </c>
    </row>
    <row r="88" spans="1:14" x14ac:dyDescent="0.25">
      <c r="A88" s="42" t="s">
        <v>27</v>
      </c>
      <c r="B88" s="48">
        <f t="shared" si="22"/>
        <v>1</v>
      </c>
      <c r="C88" s="48">
        <f t="shared" si="22"/>
        <v>128</v>
      </c>
      <c r="D88" s="48">
        <f t="shared" si="22"/>
        <v>528</v>
      </c>
      <c r="E88" s="48">
        <f t="shared" si="22"/>
        <v>61</v>
      </c>
      <c r="F88" s="48">
        <f t="shared" si="22"/>
        <v>0</v>
      </c>
      <c r="G88" s="48">
        <f t="shared" ref="G88:M88" si="31">G16-G34-G52-G70</f>
        <v>0</v>
      </c>
      <c r="H88" s="48">
        <f t="shared" si="31"/>
        <v>0</v>
      </c>
      <c r="I88" s="48">
        <f t="shared" si="31"/>
        <v>0</v>
      </c>
      <c r="J88" s="48">
        <f t="shared" si="31"/>
        <v>0</v>
      </c>
      <c r="K88" s="48">
        <f t="shared" si="31"/>
        <v>0</v>
      </c>
      <c r="L88" s="48">
        <f t="shared" si="31"/>
        <v>219</v>
      </c>
      <c r="M88" s="48">
        <f t="shared" si="31"/>
        <v>15</v>
      </c>
      <c r="N88" s="48">
        <f t="shared" si="24"/>
        <v>952</v>
      </c>
    </row>
    <row r="89" spans="1:14" x14ac:dyDescent="0.25">
      <c r="A89" s="42" t="s">
        <v>29</v>
      </c>
      <c r="B89" s="48">
        <f t="shared" si="22"/>
        <v>1805929</v>
      </c>
      <c r="C89" s="48">
        <f t="shared" si="22"/>
        <v>1741423</v>
      </c>
      <c r="D89" s="48">
        <f t="shared" si="22"/>
        <v>1774331</v>
      </c>
      <c r="E89" s="48">
        <f t="shared" si="22"/>
        <v>2017130</v>
      </c>
      <c r="F89" s="48">
        <f t="shared" si="22"/>
        <v>1793236</v>
      </c>
      <c r="G89" s="48">
        <f t="shared" ref="G89:M89" si="32">G17-G35-G53-G71</f>
        <v>1909641</v>
      </c>
      <c r="H89" s="48">
        <f t="shared" si="32"/>
        <v>1839584</v>
      </c>
      <c r="I89" s="48">
        <f t="shared" si="32"/>
        <v>1883319</v>
      </c>
      <c r="J89" s="48">
        <f t="shared" si="32"/>
        <v>1678682</v>
      </c>
      <c r="K89" s="48">
        <f t="shared" si="32"/>
        <v>1691880</v>
      </c>
      <c r="L89" s="48">
        <f t="shared" si="32"/>
        <v>1738088</v>
      </c>
      <c r="M89" s="48">
        <f t="shared" si="32"/>
        <v>1511046</v>
      </c>
      <c r="N89" s="48">
        <f t="shared" si="24"/>
        <v>21384289</v>
      </c>
    </row>
    <row r="90" spans="1:14" x14ac:dyDescent="0.25">
      <c r="A90" s="42" t="s">
        <v>31</v>
      </c>
      <c r="B90" s="48">
        <f t="shared" si="22"/>
        <v>5116961.4116400722</v>
      </c>
      <c r="C90" s="48">
        <f t="shared" si="22"/>
        <v>4725115.7662249068</v>
      </c>
      <c r="D90" s="48">
        <f t="shared" si="22"/>
        <v>4660221.4930689093</v>
      </c>
      <c r="E90" s="48">
        <f t="shared" si="22"/>
        <v>5428184.2001311518</v>
      </c>
      <c r="F90" s="48">
        <f t="shared" si="22"/>
        <v>4671477.1915023848</v>
      </c>
      <c r="G90" s="48">
        <f t="shared" ref="G90:M90" si="33">G18-G36-G54-G72</f>
        <v>5228188.2695031362</v>
      </c>
      <c r="H90" s="48">
        <f t="shared" si="33"/>
        <v>5391071.9153233962</v>
      </c>
      <c r="I90" s="48">
        <f t="shared" si="33"/>
        <v>5010063.2419402637</v>
      </c>
      <c r="J90" s="48">
        <f t="shared" si="33"/>
        <v>4603927.2871072171</v>
      </c>
      <c r="K90" s="48">
        <f t="shared" si="33"/>
        <v>4516191.6274036625</v>
      </c>
      <c r="L90" s="48">
        <f t="shared" si="33"/>
        <v>5014039.7562427036</v>
      </c>
      <c r="M90" s="48">
        <f t="shared" si="33"/>
        <v>4184003.8642743584</v>
      </c>
      <c r="N90" s="48">
        <f t="shared" si="24"/>
        <v>58549446.024362169</v>
      </c>
    </row>
    <row r="91" spans="1:14" x14ac:dyDescent="0.25">
      <c r="A91" s="42" t="s">
        <v>33</v>
      </c>
      <c r="B91" s="48">
        <f t="shared" si="22"/>
        <v>106528</v>
      </c>
      <c r="C91" s="48">
        <f t="shared" si="22"/>
        <v>97852</v>
      </c>
      <c r="D91" s="48">
        <f t="shared" si="22"/>
        <v>97698</v>
      </c>
      <c r="E91" s="48">
        <f t="shared" si="22"/>
        <v>118656</v>
      </c>
      <c r="F91" s="48">
        <f t="shared" si="22"/>
        <v>101941</v>
      </c>
      <c r="G91" s="48">
        <f t="shared" ref="G91:M91" si="34">G19-G37-G55-G73</f>
        <v>111179</v>
      </c>
      <c r="H91" s="48">
        <f t="shared" si="34"/>
        <v>104880</v>
      </c>
      <c r="I91" s="48">
        <f t="shared" si="34"/>
        <v>104204</v>
      </c>
      <c r="J91" s="48">
        <f t="shared" si="34"/>
        <v>90225</v>
      </c>
      <c r="K91" s="48">
        <f t="shared" si="34"/>
        <v>83370</v>
      </c>
      <c r="L91" s="48">
        <f t="shared" si="34"/>
        <v>96837</v>
      </c>
      <c r="M91" s="48">
        <f t="shared" si="34"/>
        <v>83739</v>
      </c>
      <c r="N91" s="48">
        <f t="shared" si="24"/>
        <v>1197109</v>
      </c>
    </row>
    <row r="92" spans="1:14" x14ac:dyDescent="0.25">
      <c r="A92" s="42" t="s">
        <v>35</v>
      </c>
      <c r="B92" s="48">
        <f t="shared" si="22"/>
        <v>3106433.2892763726</v>
      </c>
      <c r="C92" s="48">
        <f t="shared" si="22"/>
        <v>3129274.5739776511</v>
      </c>
      <c r="D92" s="48">
        <f t="shared" si="22"/>
        <v>2666559.7854105653</v>
      </c>
      <c r="E92" s="48">
        <f t="shared" si="22"/>
        <v>3116352.3571206201</v>
      </c>
      <c r="F92" s="48">
        <f t="shared" si="22"/>
        <v>2715008.9658854129</v>
      </c>
      <c r="G92" s="48">
        <f t="shared" ref="G92:M92" si="35">G20-G38-G56-G74</f>
        <v>2873641.2939058831</v>
      </c>
      <c r="H92" s="48">
        <f t="shared" si="35"/>
        <v>3122735.5328428736</v>
      </c>
      <c r="I92" s="48">
        <f t="shared" si="35"/>
        <v>3470287.0912794275</v>
      </c>
      <c r="J92" s="48">
        <f t="shared" si="35"/>
        <v>3585923.0928663034</v>
      </c>
      <c r="K92" s="48">
        <f t="shared" si="35"/>
        <v>3451014.8809852321</v>
      </c>
      <c r="L92" s="48">
        <f t="shared" si="35"/>
        <v>3619140.0823625801</v>
      </c>
      <c r="M92" s="48">
        <f t="shared" si="35"/>
        <v>3107717.3523818888</v>
      </c>
      <c r="N92" s="48">
        <f t="shared" si="24"/>
        <v>37964088.298294812</v>
      </c>
    </row>
    <row r="93" spans="1:14" x14ac:dyDescent="0.25">
      <c r="A93" s="49" t="s">
        <v>36</v>
      </c>
      <c r="B93" s="48">
        <f t="shared" si="22"/>
        <v>1354623.090424293</v>
      </c>
      <c r="C93" s="48">
        <f t="shared" si="22"/>
        <v>1385275.0825899504</v>
      </c>
      <c r="D93" s="48">
        <f t="shared" si="22"/>
        <v>1350137.8281766728</v>
      </c>
      <c r="E93" s="48">
        <f t="shared" si="22"/>
        <v>1621890.7439201926</v>
      </c>
      <c r="F93" s="48">
        <f t="shared" si="22"/>
        <v>1133910.3331921666</v>
      </c>
      <c r="G93" s="48">
        <f t="shared" ref="G93:M93" si="36">G21-G39-G57-G75</f>
        <v>1107576.8531491626</v>
      </c>
      <c r="H93" s="48">
        <f t="shared" si="36"/>
        <v>995096.78129463294</v>
      </c>
      <c r="I93" s="48">
        <f t="shared" si="36"/>
        <v>783829.11467169202</v>
      </c>
      <c r="J93" s="48">
        <f t="shared" si="36"/>
        <v>690835.88917463133</v>
      </c>
      <c r="K93" s="48">
        <f t="shared" si="36"/>
        <v>629902.94362849079</v>
      </c>
      <c r="L93" s="48">
        <f t="shared" si="36"/>
        <v>775486.07642869605</v>
      </c>
      <c r="M93" s="48">
        <f t="shared" si="36"/>
        <v>816101.58613234479</v>
      </c>
      <c r="N93" s="48">
        <f t="shared" si="24"/>
        <v>12644666.322782926</v>
      </c>
    </row>
    <row r="94" spans="1:14" x14ac:dyDescent="0.25">
      <c r="A94" s="50" t="s">
        <v>2</v>
      </c>
      <c r="B94" s="51">
        <f>SUM(B80:B93)</f>
        <v>114008772.21764521</v>
      </c>
      <c r="C94" s="51">
        <f t="shared" ref="C94:N94" si="37">SUM(C80:C93)</f>
        <v>142946792.82507479</v>
      </c>
      <c r="D94" s="51">
        <f t="shared" si="37"/>
        <v>134090142.83523482</v>
      </c>
      <c r="E94" s="51">
        <f t="shared" si="37"/>
        <v>122593790.36632469</v>
      </c>
      <c r="F94" s="51">
        <f t="shared" si="37"/>
        <v>110817629.81972687</v>
      </c>
      <c r="G94" s="51">
        <f t="shared" si="37"/>
        <v>81404207.475168407</v>
      </c>
      <c r="H94" s="51">
        <f t="shared" si="37"/>
        <v>56389593.591303103</v>
      </c>
      <c r="I94" s="51">
        <f t="shared" si="37"/>
        <v>44287511.931588463</v>
      </c>
      <c r="J94" s="51">
        <f t="shared" si="37"/>
        <v>37039103.609719217</v>
      </c>
      <c r="K94" s="51">
        <f t="shared" si="37"/>
        <v>37267433.332229748</v>
      </c>
      <c r="L94" s="51">
        <f t="shared" si="37"/>
        <v>45159033.059285551</v>
      </c>
      <c r="M94" s="51">
        <f t="shared" si="37"/>
        <v>74462504.252699167</v>
      </c>
      <c r="N94" s="51">
        <f t="shared" si="37"/>
        <v>1000466515.316</v>
      </c>
    </row>
    <row r="95" spans="1:14" x14ac:dyDescent="0.25">
      <c r="A95" s="96" t="s">
        <v>117</v>
      </c>
      <c r="B95" s="97">
        <f>B22-B40-B58-B76-B94</f>
        <v>0</v>
      </c>
      <c r="C95" s="97">
        <f t="shared" ref="C95:N95" si="38">C22-C40-C58-C76-C94</f>
        <v>0</v>
      </c>
      <c r="D95" s="97">
        <f t="shared" si="38"/>
        <v>0</v>
      </c>
      <c r="E95" s="97">
        <f t="shared" si="38"/>
        <v>0</v>
      </c>
      <c r="F95" s="97">
        <f t="shared" si="38"/>
        <v>0</v>
      </c>
      <c r="G95" s="97">
        <f t="shared" si="38"/>
        <v>0</v>
      </c>
      <c r="H95" s="97">
        <f t="shared" si="38"/>
        <v>0</v>
      </c>
      <c r="I95" s="97">
        <f t="shared" si="38"/>
        <v>0</v>
      </c>
      <c r="J95" s="97">
        <f t="shared" si="38"/>
        <v>0</v>
      </c>
      <c r="K95" s="97">
        <f t="shared" si="38"/>
        <v>0</v>
      </c>
      <c r="L95" s="97">
        <f t="shared" si="38"/>
        <v>0</v>
      </c>
      <c r="M95" s="97">
        <f t="shared" si="38"/>
        <v>0</v>
      </c>
      <c r="N95" s="97">
        <f t="shared" si="38"/>
        <v>0</v>
      </c>
    </row>
    <row r="97" spans="1:1" ht="17.25" x14ac:dyDescent="0.25">
      <c r="A97" s="39" t="s">
        <v>250</v>
      </c>
    </row>
    <row r="98" spans="1:1" ht="17.25" x14ac:dyDescent="0.25">
      <c r="A98" s="39" t="s">
        <v>251</v>
      </c>
    </row>
    <row r="99" spans="1:1" ht="17.25" x14ac:dyDescent="0.25">
      <c r="A99" s="39" t="s">
        <v>252</v>
      </c>
    </row>
  </sheetData>
  <mergeCells count="4">
    <mergeCell ref="A1:N1"/>
    <mergeCell ref="A2:N2"/>
    <mergeCell ref="A3:N3"/>
    <mergeCell ref="A4:N4"/>
  </mergeCells>
  <printOptions horizontalCentered="1"/>
  <pageMargins left="0.7" right="0.7" top="0.75" bottom="0.75" header="0.3" footer="0.3"/>
  <pageSetup scale="69" fitToHeight="3" orientation="landscape" blackAndWhite="1" r:id="rId1"/>
  <headerFooter>
    <oddFooter>&amp;L&amp;F 
&amp;A&amp;C&amp;P&amp;R&amp;D</oddFooter>
  </headerFooter>
  <rowBreaks count="2" manualBreakCount="2">
    <brk id="40" max="6" man="1"/>
    <brk id="76" max="6"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39"/>
  <sheetViews>
    <sheetView zoomScale="90" zoomScaleNormal="90" workbookViewId="0">
      <pane ySplit="4" topLeftCell="A105" activePane="bottomLeft" state="frozen"/>
      <selection activeCell="N9" sqref="N9"/>
      <selection pane="bottomLeft" activeCell="J135" sqref="J135"/>
    </sheetView>
  </sheetViews>
  <sheetFormatPr defaultColWidth="9.140625" defaultRowHeight="15" x14ac:dyDescent="0.25"/>
  <cols>
    <col min="1" max="1" width="17.85546875" style="39" customWidth="1"/>
    <col min="2" max="4" width="11" style="39" bestFit="1" customWidth="1"/>
    <col min="5" max="6" width="12" style="39" bestFit="1" customWidth="1"/>
    <col min="7" max="13" width="12" style="39" customWidth="1"/>
    <col min="14" max="14" width="13.85546875" style="39" customWidth="1"/>
    <col min="15" max="16384" width="9.140625" style="39"/>
  </cols>
  <sheetData>
    <row r="1" spans="1:14" x14ac:dyDescent="0.25">
      <c r="A1" s="208" t="s">
        <v>0</v>
      </c>
      <c r="B1" s="208"/>
      <c r="C1" s="208"/>
      <c r="D1" s="208"/>
      <c r="E1" s="208"/>
      <c r="F1" s="208"/>
      <c r="G1" s="208"/>
      <c r="H1" s="208"/>
      <c r="I1" s="208"/>
      <c r="J1" s="208"/>
      <c r="K1" s="208"/>
      <c r="L1" s="208"/>
      <c r="M1" s="208"/>
      <c r="N1" s="208"/>
    </row>
    <row r="2" spans="1:14" x14ac:dyDescent="0.25">
      <c r="A2" s="214" t="str">
        <f>'Sch. 111 Charge Rates'!A2</f>
        <v>2023 Gas Schedule 111 Greenhouse Gas Emissions Cap and Invest Adjustment Filing</v>
      </c>
      <c r="B2" s="214"/>
      <c r="C2" s="214"/>
      <c r="D2" s="214"/>
      <c r="E2" s="214"/>
      <c r="F2" s="214"/>
      <c r="G2" s="214"/>
      <c r="H2" s="214"/>
      <c r="I2" s="214"/>
      <c r="J2" s="214"/>
      <c r="K2" s="214"/>
      <c r="L2" s="214"/>
      <c r="M2" s="214"/>
      <c r="N2" s="214"/>
    </row>
    <row r="3" spans="1:14" x14ac:dyDescent="0.25">
      <c r="A3" s="214" t="s">
        <v>57</v>
      </c>
      <c r="B3" s="214"/>
      <c r="C3" s="214"/>
      <c r="D3" s="214"/>
      <c r="E3" s="214"/>
      <c r="F3" s="214"/>
      <c r="G3" s="214"/>
      <c r="H3" s="214"/>
      <c r="I3" s="214"/>
      <c r="J3" s="214"/>
      <c r="K3" s="214"/>
      <c r="L3" s="214"/>
      <c r="M3" s="214"/>
      <c r="N3" s="214"/>
    </row>
    <row r="4" spans="1:14" x14ac:dyDescent="0.25">
      <c r="A4" s="215" t="str">
        <f>'F2023 Forecast'!A4:N4</f>
        <v>November 2023 - October 2024</v>
      </c>
      <c r="B4" s="214"/>
      <c r="C4" s="214"/>
      <c r="D4" s="214"/>
      <c r="E4" s="214"/>
      <c r="F4" s="214"/>
      <c r="G4" s="214"/>
      <c r="H4" s="214"/>
      <c r="I4" s="214"/>
      <c r="J4" s="214"/>
      <c r="K4" s="214"/>
      <c r="L4" s="214"/>
      <c r="M4" s="214"/>
      <c r="N4" s="214"/>
    </row>
    <row r="5" spans="1:14" x14ac:dyDescent="0.25">
      <c r="A5" s="40"/>
      <c r="B5" s="40"/>
      <c r="C5" s="40"/>
      <c r="D5" s="40"/>
      <c r="E5" s="40"/>
      <c r="F5" s="41"/>
      <c r="G5" s="41"/>
      <c r="H5" s="41"/>
      <c r="I5" s="41"/>
      <c r="J5" s="41"/>
      <c r="K5" s="41"/>
      <c r="L5" s="41"/>
      <c r="M5" s="41"/>
      <c r="N5" s="41"/>
    </row>
    <row r="6" spans="1:14" x14ac:dyDescent="0.25">
      <c r="A6" s="93" t="s">
        <v>102</v>
      </c>
      <c r="B6" s="40"/>
      <c r="C6" s="40"/>
      <c r="D6" s="40"/>
      <c r="E6" s="40"/>
      <c r="F6" s="41"/>
      <c r="G6" s="41"/>
      <c r="H6" s="41"/>
      <c r="I6" s="41"/>
      <c r="J6" s="41"/>
      <c r="K6" s="41"/>
      <c r="L6" s="41"/>
      <c r="M6" s="41"/>
      <c r="N6" s="41"/>
    </row>
    <row r="7" spans="1:14" x14ac:dyDescent="0.25">
      <c r="A7" s="43" t="s">
        <v>52</v>
      </c>
      <c r="B7" s="44">
        <v>45231</v>
      </c>
      <c r="C7" s="45">
        <f>EDATE(B7,1)</f>
        <v>45261</v>
      </c>
      <c r="D7" s="45">
        <f t="shared" ref="D7:F7" si="0">EDATE(C7,1)</f>
        <v>45292</v>
      </c>
      <c r="E7" s="45">
        <f t="shared" si="0"/>
        <v>45323</v>
      </c>
      <c r="F7" s="45">
        <f t="shared" si="0"/>
        <v>45352</v>
      </c>
      <c r="G7" s="45">
        <f t="shared" ref="G7" si="1">EDATE(F7,1)</f>
        <v>45383</v>
      </c>
      <c r="H7" s="45">
        <f t="shared" ref="H7" si="2">EDATE(G7,1)</f>
        <v>45413</v>
      </c>
      <c r="I7" s="45">
        <f t="shared" ref="I7" si="3">EDATE(H7,1)</f>
        <v>45444</v>
      </c>
      <c r="J7" s="45">
        <f t="shared" ref="J7" si="4">EDATE(I7,1)</f>
        <v>45474</v>
      </c>
      <c r="K7" s="45">
        <f t="shared" ref="K7" si="5">EDATE(J7,1)</f>
        <v>45505</v>
      </c>
      <c r="L7" s="45">
        <f t="shared" ref="L7" si="6">EDATE(K7,1)</f>
        <v>45536</v>
      </c>
      <c r="M7" s="45">
        <f t="shared" ref="M7" si="7">EDATE(L7,1)</f>
        <v>45566</v>
      </c>
      <c r="N7" s="46" t="s">
        <v>2</v>
      </c>
    </row>
    <row r="8" spans="1:14" x14ac:dyDescent="0.25">
      <c r="A8" s="42">
        <v>16</v>
      </c>
      <c r="B8" s="54">
        <f>'F2023 Forecast'!B26</f>
        <v>4</v>
      </c>
      <c r="C8" s="54">
        <f>'F2023 Forecast'!C26</f>
        <v>4</v>
      </c>
      <c r="D8" s="54">
        <f>'F2023 Forecast'!D26</f>
        <v>4</v>
      </c>
      <c r="E8" s="54">
        <f>'F2023 Forecast'!E26</f>
        <v>4</v>
      </c>
      <c r="F8" s="54">
        <f>'F2023 Forecast'!F26</f>
        <v>4</v>
      </c>
      <c r="G8" s="54">
        <f>'F2023 Forecast'!G26</f>
        <v>4</v>
      </c>
      <c r="H8" s="54">
        <f>'F2023 Forecast'!H26</f>
        <v>4</v>
      </c>
      <c r="I8" s="54">
        <f>'F2023 Forecast'!I26</f>
        <v>4</v>
      </c>
      <c r="J8" s="54">
        <f>'F2023 Forecast'!J26</f>
        <v>4</v>
      </c>
      <c r="K8" s="54">
        <f>'F2023 Forecast'!K26</f>
        <v>4</v>
      </c>
      <c r="L8" s="54">
        <f>'F2023 Forecast'!L26</f>
        <v>4</v>
      </c>
      <c r="M8" s="54">
        <f>'F2023 Forecast'!M26</f>
        <v>4</v>
      </c>
      <c r="N8" s="48">
        <f>SUM(B8:M8)</f>
        <v>48</v>
      </c>
    </row>
    <row r="9" spans="1:14" x14ac:dyDescent="0.25">
      <c r="A9" s="42">
        <v>23</v>
      </c>
      <c r="B9" s="54">
        <f>'F2023 Forecast'!B27</f>
        <v>818735</v>
      </c>
      <c r="C9" s="54">
        <f>'F2023 Forecast'!C27</f>
        <v>818788</v>
      </c>
      <c r="D9" s="54">
        <f>'F2023 Forecast'!D27</f>
        <v>818788</v>
      </c>
      <c r="E9" s="54">
        <f>'F2023 Forecast'!E27</f>
        <v>818788</v>
      </c>
      <c r="F9" s="54">
        <f>'F2023 Forecast'!F27</f>
        <v>818788</v>
      </c>
      <c r="G9" s="54">
        <f>'F2023 Forecast'!G27</f>
        <v>818788</v>
      </c>
      <c r="H9" s="54">
        <f>'F2023 Forecast'!H27</f>
        <v>818788</v>
      </c>
      <c r="I9" s="54">
        <f>'F2023 Forecast'!I27</f>
        <v>818788</v>
      </c>
      <c r="J9" s="54">
        <f>'F2023 Forecast'!J27</f>
        <v>818788</v>
      </c>
      <c r="K9" s="54">
        <f>'F2023 Forecast'!K27</f>
        <v>818788</v>
      </c>
      <c r="L9" s="54">
        <f>'F2023 Forecast'!L27</f>
        <v>818788</v>
      </c>
      <c r="M9" s="54">
        <f>'F2023 Forecast'!M27</f>
        <v>818788</v>
      </c>
      <c r="N9" s="48">
        <f t="shared" ref="N9:N21" si="8">SUM(B9:M9)</f>
        <v>9825403</v>
      </c>
    </row>
    <row r="10" spans="1:14" x14ac:dyDescent="0.25">
      <c r="A10" s="42">
        <v>53</v>
      </c>
      <c r="B10" s="54">
        <f>'F2023 Forecast'!B28</f>
        <v>0</v>
      </c>
      <c r="C10" s="54">
        <f>'F2023 Forecast'!C28</f>
        <v>0</v>
      </c>
      <c r="D10" s="54">
        <f>'F2023 Forecast'!D28</f>
        <v>0</v>
      </c>
      <c r="E10" s="54">
        <f>'F2023 Forecast'!E28</f>
        <v>0</v>
      </c>
      <c r="F10" s="54">
        <f>'F2023 Forecast'!F28</f>
        <v>0</v>
      </c>
      <c r="G10" s="54">
        <f>'F2023 Forecast'!G28</f>
        <v>0</v>
      </c>
      <c r="H10" s="54">
        <f>'F2023 Forecast'!H28</f>
        <v>0</v>
      </c>
      <c r="I10" s="54">
        <f>'F2023 Forecast'!I28</f>
        <v>0</v>
      </c>
      <c r="J10" s="54">
        <f>'F2023 Forecast'!J28</f>
        <v>0</v>
      </c>
      <c r="K10" s="54">
        <f>'F2023 Forecast'!K28</f>
        <v>0</v>
      </c>
      <c r="L10" s="54">
        <f>'F2023 Forecast'!L28</f>
        <v>0</v>
      </c>
      <c r="M10" s="54">
        <f>'F2023 Forecast'!M28</f>
        <v>0</v>
      </c>
      <c r="N10" s="48">
        <f t="shared" si="8"/>
        <v>0</v>
      </c>
    </row>
    <row r="11" spans="1:14" x14ac:dyDescent="0.25">
      <c r="A11" s="42">
        <v>31</v>
      </c>
      <c r="B11" s="54">
        <f>'F2023 Forecast'!B29</f>
        <v>58173</v>
      </c>
      <c r="C11" s="54">
        <f>'F2023 Forecast'!C29</f>
        <v>58202</v>
      </c>
      <c r="D11" s="54">
        <f>'F2023 Forecast'!D29</f>
        <v>58212</v>
      </c>
      <c r="E11" s="54">
        <f>'F2023 Forecast'!E29</f>
        <v>58237</v>
      </c>
      <c r="F11" s="54">
        <f>'F2023 Forecast'!F29</f>
        <v>58256</v>
      </c>
      <c r="G11" s="54">
        <f>'F2023 Forecast'!G29</f>
        <v>58272</v>
      </c>
      <c r="H11" s="54">
        <f>'F2023 Forecast'!H29</f>
        <v>58293</v>
      </c>
      <c r="I11" s="54">
        <f>'F2023 Forecast'!I29</f>
        <v>58309</v>
      </c>
      <c r="J11" s="54">
        <f>'F2023 Forecast'!J29</f>
        <v>58331</v>
      </c>
      <c r="K11" s="54">
        <f>'F2023 Forecast'!K29</f>
        <v>58353</v>
      </c>
      <c r="L11" s="54">
        <f>'F2023 Forecast'!L29</f>
        <v>58368</v>
      </c>
      <c r="M11" s="54">
        <f>'F2023 Forecast'!M29</f>
        <v>58387</v>
      </c>
      <c r="N11" s="48">
        <f t="shared" si="8"/>
        <v>699393</v>
      </c>
    </row>
    <row r="12" spans="1:14" x14ac:dyDescent="0.25">
      <c r="A12" s="42">
        <v>41</v>
      </c>
      <c r="B12" s="54">
        <f>'F2023 Forecast'!B30</f>
        <v>1241</v>
      </c>
      <c r="C12" s="54">
        <f>'F2023 Forecast'!C30</f>
        <v>1236</v>
      </c>
      <c r="D12" s="54">
        <f>'F2023 Forecast'!D30</f>
        <v>1249</v>
      </c>
      <c r="E12" s="54">
        <f>'F2023 Forecast'!E30</f>
        <v>1245</v>
      </c>
      <c r="F12" s="54">
        <f>'F2023 Forecast'!F30</f>
        <v>1246</v>
      </c>
      <c r="G12" s="54">
        <f>'F2023 Forecast'!G30</f>
        <v>1245</v>
      </c>
      <c r="H12" s="54">
        <f>'F2023 Forecast'!H30</f>
        <v>1242</v>
      </c>
      <c r="I12" s="54">
        <f>'F2023 Forecast'!I30</f>
        <v>1239</v>
      </c>
      <c r="J12" s="54">
        <f>'F2023 Forecast'!J30</f>
        <v>1236</v>
      </c>
      <c r="K12" s="54">
        <f>'F2023 Forecast'!K30</f>
        <v>1234</v>
      </c>
      <c r="L12" s="54">
        <f>'F2023 Forecast'!L30</f>
        <v>1237</v>
      </c>
      <c r="M12" s="54">
        <f>'F2023 Forecast'!M30</f>
        <v>1239</v>
      </c>
      <c r="N12" s="48">
        <f t="shared" si="8"/>
        <v>14889</v>
      </c>
    </row>
    <row r="13" spans="1:14" x14ac:dyDescent="0.25">
      <c r="A13" s="42">
        <v>85</v>
      </c>
      <c r="B13" s="54">
        <f>'F2023 Forecast'!B31</f>
        <v>35</v>
      </c>
      <c r="C13" s="54">
        <f>'F2023 Forecast'!C31</f>
        <v>35</v>
      </c>
      <c r="D13" s="54">
        <f>'F2023 Forecast'!D31</f>
        <v>35</v>
      </c>
      <c r="E13" s="54">
        <f>'F2023 Forecast'!E31</f>
        <v>35</v>
      </c>
      <c r="F13" s="54">
        <f>'F2023 Forecast'!F31</f>
        <v>35</v>
      </c>
      <c r="G13" s="54">
        <f>'F2023 Forecast'!G31</f>
        <v>35</v>
      </c>
      <c r="H13" s="54">
        <f>'F2023 Forecast'!H31</f>
        <v>35</v>
      </c>
      <c r="I13" s="54">
        <f>'F2023 Forecast'!I31</f>
        <v>35</v>
      </c>
      <c r="J13" s="54">
        <f>'F2023 Forecast'!J31</f>
        <v>35</v>
      </c>
      <c r="K13" s="54">
        <f>'F2023 Forecast'!K31</f>
        <v>35</v>
      </c>
      <c r="L13" s="54">
        <f>'F2023 Forecast'!L31</f>
        <v>35</v>
      </c>
      <c r="M13" s="54">
        <f>'F2023 Forecast'!M31</f>
        <v>35</v>
      </c>
      <c r="N13" s="48">
        <f t="shared" si="8"/>
        <v>420</v>
      </c>
    </row>
    <row r="14" spans="1:14" x14ac:dyDescent="0.25">
      <c r="A14" s="42">
        <v>86</v>
      </c>
      <c r="B14" s="54">
        <f>'F2023 Forecast'!B32</f>
        <v>102</v>
      </c>
      <c r="C14" s="54">
        <f>'F2023 Forecast'!C32</f>
        <v>102</v>
      </c>
      <c r="D14" s="54">
        <f>'F2023 Forecast'!D32</f>
        <v>102</v>
      </c>
      <c r="E14" s="54">
        <f>'F2023 Forecast'!E32</f>
        <v>101</v>
      </c>
      <c r="F14" s="54">
        <f>'F2023 Forecast'!F32</f>
        <v>101</v>
      </c>
      <c r="G14" s="54">
        <f>'F2023 Forecast'!G32</f>
        <v>101</v>
      </c>
      <c r="H14" s="54">
        <f>'F2023 Forecast'!H32</f>
        <v>100</v>
      </c>
      <c r="I14" s="54">
        <f>'F2023 Forecast'!I32</f>
        <v>100</v>
      </c>
      <c r="J14" s="54">
        <f>'F2023 Forecast'!J32</f>
        <v>100</v>
      </c>
      <c r="K14" s="54">
        <f>'F2023 Forecast'!K32</f>
        <v>99</v>
      </c>
      <c r="L14" s="54">
        <f>'F2023 Forecast'!L32</f>
        <v>99</v>
      </c>
      <c r="M14" s="54">
        <f>'F2023 Forecast'!M32</f>
        <v>99</v>
      </c>
      <c r="N14" s="48">
        <f t="shared" si="8"/>
        <v>1206</v>
      </c>
    </row>
    <row r="15" spans="1:14" x14ac:dyDescent="0.25">
      <c r="A15" s="42">
        <v>87</v>
      </c>
      <c r="B15" s="54">
        <f>'F2023 Forecast'!B33</f>
        <v>4</v>
      </c>
      <c r="C15" s="54">
        <f>'F2023 Forecast'!C33</f>
        <v>4</v>
      </c>
      <c r="D15" s="54">
        <f>'F2023 Forecast'!D33</f>
        <v>4</v>
      </c>
      <c r="E15" s="54">
        <f>'F2023 Forecast'!E33</f>
        <v>4</v>
      </c>
      <c r="F15" s="54">
        <f>'F2023 Forecast'!F33</f>
        <v>4</v>
      </c>
      <c r="G15" s="54">
        <f>'F2023 Forecast'!G33</f>
        <v>4</v>
      </c>
      <c r="H15" s="54">
        <f>'F2023 Forecast'!H33</f>
        <v>4</v>
      </c>
      <c r="I15" s="54">
        <f>'F2023 Forecast'!I33</f>
        <v>4</v>
      </c>
      <c r="J15" s="54">
        <f>'F2023 Forecast'!J33</f>
        <v>4</v>
      </c>
      <c r="K15" s="54">
        <f>'F2023 Forecast'!K33</f>
        <v>4</v>
      </c>
      <c r="L15" s="54">
        <f>'F2023 Forecast'!L33</f>
        <v>4</v>
      </c>
      <c r="M15" s="54">
        <f>'F2023 Forecast'!M33</f>
        <v>4</v>
      </c>
      <c r="N15" s="48">
        <f t="shared" si="8"/>
        <v>48</v>
      </c>
    </row>
    <row r="16" spans="1:14" x14ac:dyDescent="0.25">
      <c r="A16" s="42" t="s">
        <v>27</v>
      </c>
      <c r="B16" s="54">
        <f>'F2023 Forecast'!B34</f>
        <v>1</v>
      </c>
      <c r="C16" s="54">
        <f>'F2023 Forecast'!C34</f>
        <v>1</v>
      </c>
      <c r="D16" s="54">
        <f>'F2023 Forecast'!D34</f>
        <v>1</v>
      </c>
      <c r="E16" s="54">
        <f>'F2023 Forecast'!E34</f>
        <v>1</v>
      </c>
      <c r="F16" s="54">
        <f>'F2023 Forecast'!F34</f>
        <v>1</v>
      </c>
      <c r="G16" s="54">
        <f>'F2023 Forecast'!G34</f>
        <v>1</v>
      </c>
      <c r="H16" s="54">
        <f>'F2023 Forecast'!H34</f>
        <v>1</v>
      </c>
      <c r="I16" s="54">
        <f>'F2023 Forecast'!I34</f>
        <v>1</v>
      </c>
      <c r="J16" s="54">
        <f>'F2023 Forecast'!J34</f>
        <v>1</v>
      </c>
      <c r="K16" s="54">
        <f>'F2023 Forecast'!K34</f>
        <v>1</v>
      </c>
      <c r="L16" s="54">
        <f>'F2023 Forecast'!L34</f>
        <v>1</v>
      </c>
      <c r="M16" s="54">
        <f>'F2023 Forecast'!M34</f>
        <v>1</v>
      </c>
      <c r="N16" s="48">
        <f t="shared" si="8"/>
        <v>12</v>
      </c>
    </row>
    <row r="17" spans="1:14" x14ac:dyDescent="0.25">
      <c r="A17" s="42" t="s">
        <v>29</v>
      </c>
      <c r="B17" s="54">
        <f>'F2023 Forecast'!B35</f>
        <v>94</v>
      </c>
      <c r="C17" s="54">
        <f>'F2023 Forecast'!C35</f>
        <v>94</v>
      </c>
      <c r="D17" s="54">
        <f>'F2023 Forecast'!D35</f>
        <v>94</v>
      </c>
      <c r="E17" s="54">
        <f>'F2023 Forecast'!E35</f>
        <v>94</v>
      </c>
      <c r="F17" s="54">
        <f>'F2023 Forecast'!F35</f>
        <v>94</v>
      </c>
      <c r="G17" s="54">
        <f>'F2023 Forecast'!G35</f>
        <v>94</v>
      </c>
      <c r="H17" s="54">
        <f>'F2023 Forecast'!H35</f>
        <v>94</v>
      </c>
      <c r="I17" s="54">
        <f>'F2023 Forecast'!I35</f>
        <v>94</v>
      </c>
      <c r="J17" s="54">
        <f>'F2023 Forecast'!J35</f>
        <v>94</v>
      </c>
      <c r="K17" s="54">
        <f>'F2023 Forecast'!K35</f>
        <v>94</v>
      </c>
      <c r="L17" s="54">
        <f>'F2023 Forecast'!L35</f>
        <v>94</v>
      </c>
      <c r="M17" s="54">
        <f>'F2023 Forecast'!M35</f>
        <v>94</v>
      </c>
      <c r="N17" s="48">
        <f t="shared" si="8"/>
        <v>1128</v>
      </c>
    </row>
    <row r="18" spans="1:14" x14ac:dyDescent="0.25">
      <c r="A18" s="42" t="s">
        <v>31</v>
      </c>
      <c r="B18" s="54">
        <f>'F2023 Forecast'!B36</f>
        <v>83</v>
      </c>
      <c r="C18" s="54">
        <f>'F2023 Forecast'!C36</f>
        <v>83</v>
      </c>
      <c r="D18" s="54">
        <f>'F2023 Forecast'!D36</f>
        <v>83</v>
      </c>
      <c r="E18" s="54">
        <f>'F2023 Forecast'!E36</f>
        <v>83</v>
      </c>
      <c r="F18" s="54">
        <f>'F2023 Forecast'!F36</f>
        <v>83</v>
      </c>
      <c r="G18" s="54">
        <f>'F2023 Forecast'!G36</f>
        <v>83</v>
      </c>
      <c r="H18" s="54">
        <f>'F2023 Forecast'!H36</f>
        <v>83</v>
      </c>
      <c r="I18" s="54">
        <f>'F2023 Forecast'!I36</f>
        <v>83</v>
      </c>
      <c r="J18" s="54">
        <f>'F2023 Forecast'!J36</f>
        <v>83</v>
      </c>
      <c r="K18" s="54">
        <f>'F2023 Forecast'!K36</f>
        <v>83</v>
      </c>
      <c r="L18" s="54">
        <f>'F2023 Forecast'!L36</f>
        <v>83</v>
      </c>
      <c r="M18" s="54">
        <f>'F2023 Forecast'!M36</f>
        <v>83</v>
      </c>
      <c r="N18" s="48">
        <f t="shared" si="8"/>
        <v>996</v>
      </c>
    </row>
    <row r="19" spans="1:14" x14ac:dyDescent="0.25">
      <c r="A19" s="42" t="s">
        <v>33</v>
      </c>
      <c r="B19" s="54">
        <f>'F2023 Forecast'!B37</f>
        <v>7</v>
      </c>
      <c r="C19" s="54">
        <f>'F2023 Forecast'!C37</f>
        <v>7</v>
      </c>
      <c r="D19" s="54">
        <f>'F2023 Forecast'!D37</f>
        <v>7</v>
      </c>
      <c r="E19" s="54">
        <f>'F2023 Forecast'!E37</f>
        <v>7</v>
      </c>
      <c r="F19" s="54">
        <f>'F2023 Forecast'!F37</f>
        <v>7</v>
      </c>
      <c r="G19" s="54">
        <f>'F2023 Forecast'!G37</f>
        <v>7</v>
      </c>
      <c r="H19" s="54">
        <f>'F2023 Forecast'!H37</f>
        <v>7</v>
      </c>
      <c r="I19" s="54">
        <f>'F2023 Forecast'!I37</f>
        <v>7</v>
      </c>
      <c r="J19" s="54">
        <f>'F2023 Forecast'!J37</f>
        <v>7</v>
      </c>
      <c r="K19" s="54">
        <f>'F2023 Forecast'!K37</f>
        <v>7</v>
      </c>
      <c r="L19" s="54">
        <f>'F2023 Forecast'!L37</f>
        <v>7</v>
      </c>
      <c r="M19" s="54">
        <f>'F2023 Forecast'!M37</f>
        <v>7</v>
      </c>
      <c r="N19" s="48">
        <f t="shared" si="8"/>
        <v>84</v>
      </c>
    </row>
    <row r="20" spans="1:14" x14ac:dyDescent="0.25">
      <c r="A20" s="42" t="s">
        <v>35</v>
      </c>
      <c r="B20" s="54">
        <f>'F2023 Forecast'!B38</f>
        <v>11</v>
      </c>
      <c r="C20" s="54">
        <f>'F2023 Forecast'!C38</f>
        <v>11</v>
      </c>
      <c r="D20" s="54">
        <f>'F2023 Forecast'!D38</f>
        <v>11</v>
      </c>
      <c r="E20" s="54">
        <f>'F2023 Forecast'!E38</f>
        <v>11</v>
      </c>
      <c r="F20" s="54">
        <f>'F2023 Forecast'!F38</f>
        <v>11</v>
      </c>
      <c r="G20" s="54">
        <f>'F2023 Forecast'!G38</f>
        <v>11</v>
      </c>
      <c r="H20" s="54">
        <f>'F2023 Forecast'!H38</f>
        <v>11</v>
      </c>
      <c r="I20" s="54">
        <f>'F2023 Forecast'!I38</f>
        <v>11</v>
      </c>
      <c r="J20" s="54">
        <f>'F2023 Forecast'!J38</f>
        <v>11</v>
      </c>
      <c r="K20" s="54">
        <f>'F2023 Forecast'!K38</f>
        <v>11</v>
      </c>
      <c r="L20" s="54">
        <f>'F2023 Forecast'!L38</f>
        <v>11</v>
      </c>
      <c r="M20" s="54">
        <f>'F2023 Forecast'!M38</f>
        <v>11</v>
      </c>
      <c r="N20" s="48">
        <f t="shared" si="8"/>
        <v>132</v>
      </c>
    </row>
    <row r="21" spans="1:14" x14ac:dyDescent="0.25">
      <c r="A21" s="49" t="s">
        <v>36</v>
      </c>
      <c r="B21" s="54">
        <f>'F2023 Forecast'!B39</f>
        <v>9</v>
      </c>
      <c r="C21" s="54">
        <f>'F2023 Forecast'!C39</f>
        <v>9</v>
      </c>
      <c r="D21" s="54">
        <f>'F2023 Forecast'!D39</f>
        <v>9</v>
      </c>
      <c r="E21" s="54">
        <f>'F2023 Forecast'!E39</f>
        <v>9</v>
      </c>
      <c r="F21" s="54">
        <f>'F2023 Forecast'!F39</f>
        <v>9</v>
      </c>
      <c r="G21" s="54">
        <f>'F2023 Forecast'!G39</f>
        <v>9</v>
      </c>
      <c r="H21" s="54">
        <f>'F2023 Forecast'!H39</f>
        <v>9</v>
      </c>
      <c r="I21" s="54">
        <f>'F2023 Forecast'!I39</f>
        <v>9</v>
      </c>
      <c r="J21" s="54">
        <f>'F2023 Forecast'!J39</f>
        <v>9</v>
      </c>
      <c r="K21" s="54">
        <f>'F2023 Forecast'!K39</f>
        <v>9</v>
      </c>
      <c r="L21" s="54">
        <f>'F2023 Forecast'!L39</f>
        <v>9</v>
      </c>
      <c r="M21" s="54">
        <f>'F2023 Forecast'!M39</f>
        <v>9</v>
      </c>
      <c r="N21" s="48">
        <f t="shared" si="8"/>
        <v>108</v>
      </c>
    </row>
    <row r="22" spans="1:14" x14ac:dyDescent="0.25">
      <c r="A22" s="50" t="s">
        <v>2</v>
      </c>
      <c r="B22" s="51">
        <f>SUM(B8:B21)</f>
        <v>878499</v>
      </c>
      <c r="C22" s="51">
        <f t="shared" ref="C22:N22" si="9">SUM(C8:C21)</f>
        <v>878576</v>
      </c>
      <c r="D22" s="51">
        <f t="shared" si="9"/>
        <v>878599</v>
      </c>
      <c r="E22" s="51">
        <f t="shared" si="9"/>
        <v>878619</v>
      </c>
      <c r="F22" s="51">
        <f t="shared" si="9"/>
        <v>878639</v>
      </c>
      <c r="G22" s="51">
        <f t="shared" si="9"/>
        <v>878654</v>
      </c>
      <c r="H22" s="51">
        <f t="shared" si="9"/>
        <v>878671</v>
      </c>
      <c r="I22" s="51">
        <f t="shared" si="9"/>
        <v>878684</v>
      </c>
      <c r="J22" s="51">
        <f t="shared" si="9"/>
        <v>878703</v>
      </c>
      <c r="K22" s="51">
        <f t="shared" si="9"/>
        <v>878722</v>
      </c>
      <c r="L22" s="51">
        <f t="shared" si="9"/>
        <v>878740</v>
      </c>
      <c r="M22" s="51">
        <f t="shared" si="9"/>
        <v>878761</v>
      </c>
      <c r="N22" s="51">
        <f t="shared" si="9"/>
        <v>10543867</v>
      </c>
    </row>
    <row r="23" spans="1:14" x14ac:dyDescent="0.25">
      <c r="A23" s="50"/>
      <c r="B23" s="52"/>
      <c r="C23" s="52"/>
      <c r="D23" s="52"/>
      <c r="E23" s="52"/>
      <c r="F23" s="52"/>
      <c r="G23" s="52"/>
      <c r="H23" s="52"/>
      <c r="I23" s="52"/>
      <c r="J23" s="52"/>
      <c r="K23" s="52"/>
      <c r="L23" s="52"/>
      <c r="M23" s="52"/>
      <c r="N23" s="52"/>
    </row>
    <row r="24" spans="1:14" ht="17.25" x14ac:dyDescent="0.25">
      <c r="A24" s="53" t="s">
        <v>89</v>
      </c>
    </row>
    <row r="25" spans="1:14" x14ac:dyDescent="0.25">
      <c r="A25" s="43" t="s">
        <v>52</v>
      </c>
      <c r="B25" s="45">
        <f>B7</f>
        <v>45231</v>
      </c>
      <c r="C25" s="45">
        <f t="shared" ref="C25:M25" si="10">C7</f>
        <v>45261</v>
      </c>
      <c r="D25" s="45">
        <f t="shared" si="10"/>
        <v>45292</v>
      </c>
      <c r="E25" s="45">
        <f t="shared" si="10"/>
        <v>45323</v>
      </c>
      <c r="F25" s="45">
        <f t="shared" si="10"/>
        <v>45352</v>
      </c>
      <c r="G25" s="45">
        <f t="shared" si="10"/>
        <v>45383</v>
      </c>
      <c r="H25" s="45">
        <f t="shared" si="10"/>
        <v>45413</v>
      </c>
      <c r="I25" s="45">
        <f t="shared" si="10"/>
        <v>45444</v>
      </c>
      <c r="J25" s="45">
        <f t="shared" si="10"/>
        <v>45474</v>
      </c>
      <c r="K25" s="45">
        <f t="shared" si="10"/>
        <v>45505</v>
      </c>
      <c r="L25" s="45">
        <f t="shared" si="10"/>
        <v>45536</v>
      </c>
      <c r="M25" s="45">
        <f t="shared" si="10"/>
        <v>45566</v>
      </c>
      <c r="N25" s="46" t="s">
        <v>2</v>
      </c>
    </row>
    <row r="26" spans="1:14" x14ac:dyDescent="0.25">
      <c r="A26" s="42">
        <v>16</v>
      </c>
      <c r="B26" s="47">
        <v>0</v>
      </c>
      <c r="C26" s="47">
        <v>0</v>
      </c>
      <c r="D26" s="47">
        <v>0</v>
      </c>
      <c r="E26" s="47">
        <v>0</v>
      </c>
      <c r="F26" s="47">
        <v>0</v>
      </c>
      <c r="G26" s="47">
        <v>0</v>
      </c>
      <c r="H26" s="47">
        <v>0</v>
      </c>
      <c r="I26" s="47">
        <v>0</v>
      </c>
      <c r="J26" s="47">
        <v>0</v>
      </c>
      <c r="K26" s="47">
        <v>0</v>
      </c>
      <c r="L26" s="47">
        <v>0</v>
      </c>
      <c r="M26" s="47">
        <v>0</v>
      </c>
      <c r="N26" s="48">
        <f>SUM(B26:M26)</f>
        <v>0</v>
      </c>
    </row>
    <row r="27" spans="1:14" x14ac:dyDescent="0.25">
      <c r="A27" s="42">
        <v>23</v>
      </c>
      <c r="B27" s="47">
        <v>0</v>
      </c>
      <c r="C27" s="47">
        <v>0</v>
      </c>
      <c r="D27" s="47">
        <v>0</v>
      </c>
      <c r="E27" s="47">
        <v>0</v>
      </c>
      <c r="F27" s="47">
        <v>0</v>
      </c>
      <c r="G27" s="47">
        <v>0</v>
      </c>
      <c r="H27" s="47">
        <v>0</v>
      </c>
      <c r="I27" s="47">
        <v>0</v>
      </c>
      <c r="J27" s="47">
        <v>0</v>
      </c>
      <c r="K27" s="47">
        <v>0</v>
      </c>
      <c r="L27" s="47">
        <v>0</v>
      </c>
      <c r="M27" s="47">
        <v>0</v>
      </c>
      <c r="N27" s="48">
        <f t="shared" ref="N27:N39" si="11">SUM(B27:M27)</f>
        <v>0</v>
      </c>
    </row>
    <row r="28" spans="1:14" x14ac:dyDescent="0.25">
      <c r="A28" s="42">
        <v>53</v>
      </c>
      <c r="B28" s="47">
        <v>0</v>
      </c>
      <c r="C28" s="47">
        <v>0</v>
      </c>
      <c r="D28" s="47">
        <v>0</v>
      </c>
      <c r="E28" s="47">
        <v>0</v>
      </c>
      <c r="F28" s="47">
        <v>0</v>
      </c>
      <c r="G28" s="47">
        <v>0</v>
      </c>
      <c r="H28" s="47">
        <v>0</v>
      </c>
      <c r="I28" s="47">
        <v>0</v>
      </c>
      <c r="J28" s="47">
        <v>0</v>
      </c>
      <c r="K28" s="47">
        <v>0</v>
      </c>
      <c r="L28" s="47">
        <v>0</v>
      </c>
      <c r="M28" s="47">
        <v>0</v>
      </c>
      <c r="N28" s="48">
        <f t="shared" si="11"/>
        <v>0</v>
      </c>
    </row>
    <row r="29" spans="1:14" x14ac:dyDescent="0.25">
      <c r="A29" s="42">
        <v>31</v>
      </c>
      <c r="B29" s="47">
        <v>4</v>
      </c>
      <c r="C29" s="47">
        <v>4</v>
      </c>
      <c r="D29" s="47">
        <v>4</v>
      </c>
      <c r="E29" s="47">
        <v>4</v>
      </c>
      <c r="F29" s="47">
        <v>4</v>
      </c>
      <c r="G29" s="47">
        <v>4</v>
      </c>
      <c r="H29" s="47">
        <v>4</v>
      </c>
      <c r="I29" s="47">
        <v>4</v>
      </c>
      <c r="J29" s="47">
        <v>4</v>
      </c>
      <c r="K29" s="47">
        <v>4</v>
      </c>
      <c r="L29" s="47">
        <v>4</v>
      </c>
      <c r="M29" s="47">
        <v>4</v>
      </c>
      <c r="N29" s="48">
        <f>SUM(B29:M29)</f>
        <v>48</v>
      </c>
    </row>
    <row r="30" spans="1:14" x14ac:dyDescent="0.25">
      <c r="A30" s="42">
        <v>41</v>
      </c>
      <c r="B30" s="47">
        <v>2</v>
      </c>
      <c r="C30" s="47">
        <v>2</v>
      </c>
      <c r="D30" s="47">
        <v>2</v>
      </c>
      <c r="E30" s="47">
        <v>2</v>
      </c>
      <c r="F30" s="47">
        <v>2</v>
      </c>
      <c r="G30" s="47">
        <v>2</v>
      </c>
      <c r="H30" s="47">
        <v>2</v>
      </c>
      <c r="I30" s="47">
        <v>2</v>
      </c>
      <c r="J30" s="47">
        <v>2</v>
      </c>
      <c r="K30" s="47">
        <v>2</v>
      </c>
      <c r="L30" s="47">
        <v>2</v>
      </c>
      <c r="M30" s="47">
        <v>2</v>
      </c>
      <c r="N30" s="48">
        <f t="shared" si="11"/>
        <v>24</v>
      </c>
    </row>
    <row r="31" spans="1:14" x14ac:dyDescent="0.25">
      <c r="A31" s="42">
        <v>85</v>
      </c>
      <c r="B31" s="47">
        <v>0</v>
      </c>
      <c r="C31" s="47">
        <v>0</v>
      </c>
      <c r="D31" s="47">
        <v>0</v>
      </c>
      <c r="E31" s="47">
        <v>0</v>
      </c>
      <c r="F31" s="47">
        <v>0</v>
      </c>
      <c r="G31" s="47">
        <v>0</v>
      </c>
      <c r="H31" s="47">
        <v>0</v>
      </c>
      <c r="I31" s="47">
        <v>0</v>
      </c>
      <c r="J31" s="47">
        <v>0</v>
      </c>
      <c r="K31" s="47">
        <v>0</v>
      </c>
      <c r="L31" s="47">
        <v>0</v>
      </c>
      <c r="M31" s="47">
        <v>0</v>
      </c>
      <c r="N31" s="48">
        <f t="shared" si="11"/>
        <v>0</v>
      </c>
    </row>
    <row r="32" spans="1:14" x14ac:dyDescent="0.25">
      <c r="A32" s="42">
        <v>86</v>
      </c>
      <c r="B32" s="47">
        <v>0</v>
      </c>
      <c r="C32" s="47">
        <v>0</v>
      </c>
      <c r="D32" s="47">
        <v>0</v>
      </c>
      <c r="E32" s="47">
        <v>0</v>
      </c>
      <c r="F32" s="47">
        <v>0</v>
      </c>
      <c r="G32" s="47">
        <v>0</v>
      </c>
      <c r="H32" s="47">
        <v>0</v>
      </c>
      <c r="I32" s="47">
        <v>0</v>
      </c>
      <c r="J32" s="47">
        <v>0</v>
      </c>
      <c r="K32" s="47">
        <v>0</v>
      </c>
      <c r="L32" s="47">
        <v>0</v>
      </c>
      <c r="M32" s="47">
        <v>0</v>
      </c>
      <c r="N32" s="48">
        <f t="shared" si="11"/>
        <v>0</v>
      </c>
    </row>
    <row r="33" spans="1:14" x14ac:dyDescent="0.25">
      <c r="A33" s="42">
        <v>87</v>
      </c>
      <c r="B33" s="47">
        <v>1</v>
      </c>
      <c r="C33" s="47">
        <v>1</v>
      </c>
      <c r="D33" s="47">
        <v>1</v>
      </c>
      <c r="E33" s="47">
        <v>1</v>
      </c>
      <c r="F33" s="47">
        <v>1</v>
      </c>
      <c r="G33" s="47">
        <v>1</v>
      </c>
      <c r="H33" s="47">
        <v>1</v>
      </c>
      <c r="I33" s="47">
        <v>1</v>
      </c>
      <c r="J33" s="47">
        <v>1</v>
      </c>
      <c r="K33" s="47">
        <v>1</v>
      </c>
      <c r="L33" s="47">
        <v>1</v>
      </c>
      <c r="M33" s="47">
        <v>1</v>
      </c>
      <c r="N33" s="48">
        <f t="shared" si="11"/>
        <v>12</v>
      </c>
    </row>
    <row r="34" spans="1:14" x14ac:dyDescent="0.25">
      <c r="A34" s="42" t="s">
        <v>27</v>
      </c>
      <c r="B34" s="47">
        <v>0</v>
      </c>
      <c r="C34" s="47">
        <v>0</v>
      </c>
      <c r="D34" s="47">
        <v>0</v>
      </c>
      <c r="E34" s="47">
        <v>0</v>
      </c>
      <c r="F34" s="47">
        <v>0</v>
      </c>
      <c r="G34" s="47">
        <v>0</v>
      </c>
      <c r="H34" s="47">
        <v>0</v>
      </c>
      <c r="I34" s="47">
        <v>0</v>
      </c>
      <c r="J34" s="47">
        <v>0</v>
      </c>
      <c r="K34" s="47">
        <v>0</v>
      </c>
      <c r="L34" s="47">
        <v>0</v>
      </c>
      <c r="M34" s="47">
        <v>0</v>
      </c>
      <c r="N34" s="48">
        <f>SUM(B34:M34)</f>
        <v>0</v>
      </c>
    </row>
    <row r="35" spans="1:14" x14ac:dyDescent="0.25">
      <c r="A35" s="42" t="s">
        <v>29</v>
      </c>
      <c r="B35" s="47">
        <v>0</v>
      </c>
      <c r="C35" s="47">
        <v>0</v>
      </c>
      <c r="D35" s="47">
        <v>0</v>
      </c>
      <c r="E35" s="47">
        <v>0</v>
      </c>
      <c r="F35" s="47">
        <v>0</v>
      </c>
      <c r="G35" s="47">
        <v>0</v>
      </c>
      <c r="H35" s="47">
        <v>0</v>
      </c>
      <c r="I35" s="47">
        <v>0</v>
      </c>
      <c r="J35" s="47">
        <v>0</v>
      </c>
      <c r="K35" s="47">
        <v>0</v>
      </c>
      <c r="L35" s="47">
        <v>0</v>
      </c>
      <c r="M35" s="47">
        <v>0</v>
      </c>
      <c r="N35" s="48">
        <f t="shared" si="11"/>
        <v>0</v>
      </c>
    </row>
    <row r="36" spans="1:14" x14ac:dyDescent="0.25">
      <c r="A36" s="42" t="s">
        <v>31</v>
      </c>
      <c r="B36" s="47">
        <v>1</v>
      </c>
      <c r="C36" s="47">
        <v>1</v>
      </c>
      <c r="D36" s="47">
        <v>1</v>
      </c>
      <c r="E36" s="47">
        <v>1</v>
      </c>
      <c r="F36" s="47">
        <v>1</v>
      </c>
      <c r="G36" s="47">
        <v>1</v>
      </c>
      <c r="H36" s="47">
        <v>1</v>
      </c>
      <c r="I36" s="47">
        <v>1</v>
      </c>
      <c r="J36" s="47">
        <v>1</v>
      </c>
      <c r="K36" s="47">
        <v>1</v>
      </c>
      <c r="L36" s="47">
        <v>1</v>
      </c>
      <c r="M36" s="47">
        <v>1</v>
      </c>
      <c r="N36" s="48">
        <f t="shared" si="11"/>
        <v>12</v>
      </c>
    </row>
    <row r="37" spans="1:14" x14ac:dyDescent="0.25">
      <c r="A37" s="42" t="s">
        <v>33</v>
      </c>
      <c r="B37" s="47">
        <v>0</v>
      </c>
      <c r="C37" s="47">
        <v>0</v>
      </c>
      <c r="D37" s="47">
        <v>0</v>
      </c>
      <c r="E37" s="47">
        <v>0</v>
      </c>
      <c r="F37" s="47">
        <v>0</v>
      </c>
      <c r="G37" s="47">
        <v>0</v>
      </c>
      <c r="H37" s="47">
        <v>0</v>
      </c>
      <c r="I37" s="47">
        <v>0</v>
      </c>
      <c r="J37" s="47">
        <v>0</v>
      </c>
      <c r="K37" s="47">
        <v>0</v>
      </c>
      <c r="L37" s="47">
        <v>0</v>
      </c>
      <c r="M37" s="47">
        <v>0</v>
      </c>
      <c r="N37" s="48">
        <f t="shared" si="11"/>
        <v>0</v>
      </c>
    </row>
    <row r="38" spans="1:14" x14ac:dyDescent="0.25">
      <c r="A38" s="42" t="s">
        <v>35</v>
      </c>
      <c r="B38" s="47">
        <v>7</v>
      </c>
      <c r="C38" s="47">
        <v>7</v>
      </c>
      <c r="D38" s="47">
        <v>7</v>
      </c>
      <c r="E38" s="47">
        <v>7</v>
      </c>
      <c r="F38" s="47">
        <v>7</v>
      </c>
      <c r="G38" s="47">
        <v>7</v>
      </c>
      <c r="H38" s="47">
        <v>7</v>
      </c>
      <c r="I38" s="47">
        <v>7</v>
      </c>
      <c r="J38" s="47">
        <v>7</v>
      </c>
      <c r="K38" s="47">
        <v>7</v>
      </c>
      <c r="L38" s="47">
        <v>7</v>
      </c>
      <c r="M38" s="47">
        <v>7</v>
      </c>
      <c r="N38" s="48">
        <f t="shared" si="11"/>
        <v>84</v>
      </c>
    </row>
    <row r="39" spans="1:14" x14ac:dyDescent="0.25">
      <c r="A39" s="49" t="s">
        <v>36</v>
      </c>
      <c r="B39" s="47">
        <v>2</v>
      </c>
      <c r="C39" s="47">
        <v>2</v>
      </c>
      <c r="D39" s="47">
        <v>2</v>
      </c>
      <c r="E39" s="47">
        <v>2</v>
      </c>
      <c r="F39" s="47">
        <v>2</v>
      </c>
      <c r="G39" s="47">
        <v>2</v>
      </c>
      <c r="H39" s="47">
        <v>2</v>
      </c>
      <c r="I39" s="47">
        <v>2</v>
      </c>
      <c r="J39" s="47">
        <v>2</v>
      </c>
      <c r="K39" s="47">
        <v>2</v>
      </c>
      <c r="L39" s="47">
        <v>2</v>
      </c>
      <c r="M39" s="47">
        <v>2</v>
      </c>
      <c r="N39" s="48">
        <f t="shared" si="11"/>
        <v>24</v>
      </c>
    </row>
    <row r="40" spans="1:14" x14ac:dyDescent="0.25">
      <c r="A40" s="50" t="s">
        <v>2</v>
      </c>
      <c r="B40" s="51">
        <f>SUM(B26:B39)</f>
        <v>17</v>
      </c>
      <c r="C40" s="51">
        <f t="shared" ref="C40:N40" si="12">SUM(C26:C39)</f>
        <v>17</v>
      </c>
      <c r="D40" s="51">
        <f t="shared" si="12"/>
        <v>17</v>
      </c>
      <c r="E40" s="51">
        <f t="shared" si="12"/>
        <v>17</v>
      </c>
      <c r="F40" s="51">
        <f t="shared" si="12"/>
        <v>17</v>
      </c>
      <c r="G40" s="51">
        <f t="shared" si="12"/>
        <v>17</v>
      </c>
      <c r="H40" s="51">
        <f t="shared" si="12"/>
        <v>17</v>
      </c>
      <c r="I40" s="51">
        <f t="shared" si="12"/>
        <v>17</v>
      </c>
      <c r="J40" s="51">
        <f t="shared" si="12"/>
        <v>17</v>
      </c>
      <c r="K40" s="51">
        <f t="shared" si="12"/>
        <v>17</v>
      </c>
      <c r="L40" s="51">
        <f t="shared" si="12"/>
        <v>17</v>
      </c>
      <c r="M40" s="51">
        <f t="shared" si="12"/>
        <v>17</v>
      </c>
      <c r="N40" s="51">
        <f t="shared" si="12"/>
        <v>204</v>
      </c>
    </row>
    <row r="42" spans="1:14" ht="17.25" x14ac:dyDescent="0.25">
      <c r="A42" s="53" t="s">
        <v>82</v>
      </c>
    </row>
    <row r="43" spans="1:14" x14ac:dyDescent="0.25">
      <c r="A43" s="43" t="s">
        <v>52</v>
      </c>
      <c r="B43" s="45">
        <f>B7</f>
        <v>45231</v>
      </c>
      <c r="C43" s="45">
        <f t="shared" ref="C43:M43" si="13">C7</f>
        <v>45261</v>
      </c>
      <c r="D43" s="45">
        <f t="shared" si="13"/>
        <v>45292</v>
      </c>
      <c r="E43" s="45">
        <f t="shared" si="13"/>
        <v>45323</v>
      </c>
      <c r="F43" s="45">
        <f t="shared" si="13"/>
        <v>45352</v>
      </c>
      <c r="G43" s="45">
        <f t="shared" si="13"/>
        <v>45383</v>
      </c>
      <c r="H43" s="45">
        <f t="shared" si="13"/>
        <v>45413</v>
      </c>
      <c r="I43" s="45">
        <f t="shared" si="13"/>
        <v>45444</v>
      </c>
      <c r="J43" s="45">
        <f t="shared" si="13"/>
        <v>45474</v>
      </c>
      <c r="K43" s="45">
        <f t="shared" si="13"/>
        <v>45505</v>
      </c>
      <c r="L43" s="45">
        <f t="shared" si="13"/>
        <v>45536</v>
      </c>
      <c r="M43" s="45">
        <f t="shared" si="13"/>
        <v>45566</v>
      </c>
      <c r="N43" s="46" t="s">
        <v>2</v>
      </c>
    </row>
    <row r="44" spans="1:14" x14ac:dyDescent="0.25">
      <c r="A44" s="42">
        <v>16</v>
      </c>
      <c r="B44" s="47">
        <v>0</v>
      </c>
      <c r="C44" s="47">
        <v>0</v>
      </c>
      <c r="D44" s="47">
        <v>0</v>
      </c>
      <c r="E44" s="47">
        <v>0</v>
      </c>
      <c r="F44" s="47">
        <v>0</v>
      </c>
      <c r="G44" s="47">
        <v>0</v>
      </c>
      <c r="H44" s="47">
        <v>0</v>
      </c>
      <c r="I44" s="47">
        <v>0</v>
      </c>
      <c r="J44" s="47">
        <v>0</v>
      </c>
      <c r="K44" s="47">
        <v>0</v>
      </c>
      <c r="L44" s="47">
        <v>0</v>
      </c>
      <c r="M44" s="47">
        <v>0</v>
      </c>
      <c r="N44" s="48">
        <f>SUM(B44:M44)</f>
        <v>0</v>
      </c>
    </row>
    <row r="45" spans="1:14" x14ac:dyDescent="0.25">
      <c r="A45" s="42">
        <v>23</v>
      </c>
      <c r="B45" s="47">
        <v>0</v>
      </c>
      <c r="C45" s="47">
        <v>0</v>
      </c>
      <c r="D45" s="47">
        <v>0</v>
      </c>
      <c r="E45" s="47">
        <v>0</v>
      </c>
      <c r="F45" s="47">
        <v>0</v>
      </c>
      <c r="G45" s="47">
        <v>0</v>
      </c>
      <c r="H45" s="47">
        <v>0</v>
      </c>
      <c r="I45" s="47">
        <v>0</v>
      </c>
      <c r="J45" s="47">
        <v>0</v>
      </c>
      <c r="K45" s="47">
        <v>0</v>
      </c>
      <c r="L45" s="47">
        <v>0</v>
      </c>
      <c r="M45" s="47">
        <v>0</v>
      </c>
      <c r="N45" s="48">
        <f t="shared" ref="N45:N57" si="14">SUM(B45:M45)</f>
        <v>0</v>
      </c>
    </row>
    <row r="46" spans="1:14" x14ac:dyDescent="0.25">
      <c r="A46" s="42">
        <v>53</v>
      </c>
      <c r="B46" s="47">
        <v>0</v>
      </c>
      <c r="C46" s="47">
        <v>0</v>
      </c>
      <c r="D46" s="47">
        <v>0</v>
      </c>
      <c r="E46" s="47">
        <v>0</v>
      </c>
      <c r="F46" s="47">
        <v>0</v>
      </c>
      <c r="G46" s="47">
        <v>0</v>
      </c>
      <c r="H46" s="47">
        <v>0</v>
      </c>
      <c r="I46" s="47">
        <v>0</v>
      </c>
      <c r="J46" s="47">
        <v>0</v>
      </c>
      <c r="K46" s="47">
        <v>0</v>
      </c>
      <c r="L46" s="47">
        <v>0</v>
      </c>
      <c r="M46" s="47">
        <v>0</v>
      </c>
      <c r="N46" s="48">
        <f t="shared" si="14"/>
        <v>0</v>
      </c>
    </row>
    <row r="47" spans="1:14" x14ac:dyDescent="0.25">
      <c r="A47" s="42">
        <v>31</v>
      </c>
      <c r="B47" s="47">
        <v>491</v>
      </c>
      <c r="C47" s="47">
        <v>491</v>
      </c>
      <c r="D47" s="47">
        <v>491</v>
      </c>
      <c r="E47" s="47">
        <v>491</v>
      </c>
      <c r="F47" s="47">
        <v>491</v>
      </c>
      <c r="G47" s="47">
        <v>491</v>
      </c>
      <c r="H47" s="47">
        <v>491</v>
      </c>
      <c r="I47" s="47">
        <v>491</v>
      </c>
      <c r="J47" s="47">
        <v>491</v>
      </c>
      <c r="K47" s="47">
        <v>491</v>
      </c>
      <c r="L47" s="47">
        <v>491</v>
      </c>
      <c r="M47" s="47">
        <v>491</v>
      </c>
      <c r="N47" s="48">
        <f t="shared" si="14"/>
        <v>5892</v>
      </c>
    </row>
    <row r="48" spans="1:14" x14ac:dyDescent="0.25">
      <c r="A48" s="42">
        <v>41</v>
      </c>
      <c r="B48" s="47">
        <v>0</v>
      </c>
      <c r="C48" s="47">
        <v>0</v>
      </c>
      <c r="D48" s="47">
        <v>0</v>
      </c>
      <c r="E48" s="47">
        <v>0</v>
      </c>
      <c r="F48" s="47">
        <v>0</v>
      </c>
      <c r="G48" s="47">
        <v>0</v>
      </c>
      <c r="H48" s="47">
        <v>0</v>
      </c>
      <c r="I48" s="47">
        <v>0</v>
      </c>
      <c r="J48" s="47">
        <v>0</v>
      </c>
      <c r="K48" s="47">
        <v>0</v>
      </c>
      <c r="L48" s="47">
        <v>0</v>
      </c>
      <c r="M48" s="47">
        <v>0</v>
      </c>
      <c r="N48" s="48">
        <f t="shared" si="14"/>
        <v>0</v>
      </c>
    </row>
    <row r="49" spans="1:14" x14ac:dyDescent="0.25">
      <c r="A49" s="42">
        <v>85</v>
      </c>
      <c r="B49" s="47">
        <v>1</v>
      </c>
      <c r="C49" s="47">
        <v>1</v>
      </c>
      <c r="D49" s="47">
        <v>1</v>
      </c>
      <c r="E49" s="47">
        <v>1</v>
      </c>
      <c r="F49" s="47">
        <v>1</v>
      </c>
      <c r="G49" s="47">
        <v>1</v>
      </c>
      <c r="H49" s="47">
        <v>1</v>
      </c>
      <c r="I49" s="47">
        <v>1</v>
      </c>
      <c r="J49" s="47">
        <v>1</v>
      </c>
      <c r="K49" s="47">
        <v>1</v>
      </c>
      <c r="L49" s="47">
        <v>1</v>
      </c>
      <c r="M49" s="47">
        <v>1</v>
      </c>
      <c r="N49" s="48">
        <f t="shared" si="14"/>
        <v>12</v>
      </c>
    </row>
    <row r="50" spans="1:14" x14ac:dyDescent="0.25">
      <c r="A50" s="42">
        <v>86</v>
      </c>
      <c r="B50" s="47">
        <v>0</v>
      </c>
      <c r="C50" s="47">
        <v>0</v>
      </c>
      <c r="D50" s="47">
        <v>0</v>
      </c>
      <c r="E50" s="47">
        <v>0</v>
      </c>
      <c r="F50" s="47">
        <v>0</v>
      </c>
      <c r="G50" s="47">
        <v>0</v>
      </c>
      <c r="H50" s="47">
        <v>0</v>
      </c>
      <c r="I50" s="47">
        <v>0</v>
      </c>
      <c r="J50" s="47">
        <v>0</v>
      </c>
      <c r="K50" s="47">
        <v>0</v>
      </c>
      <c r="L50" s="47">
        <v>0</v>
      </c>
      <c r="M50" s="47">
        <v>0</v>
      </c>
      <c r="N50" s="48">
        <f t="shared" si="14"/>
        <v>0</v>
      </c>
    </row>
    <row r="51" spans="1:14" x14ac:dyDescent="0.25">
      <c r="A51" s="42">
        <v>87</v>
      </c>
      <c r="B51" s="47">
        <v>2</v>
      </c>
      <c r="C51" s="47">
        <v>2</v>
      </c>
      <c r="D51" s="47">
        <v>2</v>
      </c>
      <c r="E51" s="47">
        <v>2</v>
      </c>
      <c r="F51" s="47">
        <v>2</v>
      </c>
      <c r="G51" s="47">
        <v>2</v>
      </c>
      <c r="H51" s="47">
        <v>2</v>
      </c>
      <c r="I51" s="47">
        <v>2</v>
      </c>
      <c r="J51" s="47">
        <v>2</v>
      </c>
      <c r="K51" s="47">
        <v>2</v>
      </c>
      <c r="L51" s="47">
        <v>2</v>
      </c>
      <c r="M51" s="47">
        <v>2</v>
      </c>
      <c r="N51" s="48">
        <f t="shared" si="14"/>
        <v>24</v>
      </c>
    </row>
    <row r="52" spans="1:14" x14ac:dyDescent="0.25">
      <c r="A52" s="42" t="s">
        <v>27</v>
      </c>
      <c r="B52" s="47">
        <v>0</v>
      </c>
      <c r="C52" s="47">
        <v>0</v>
      </c>
      <c r="D52" s="47">
        <v>0</v>
      </c>
      <c r="E52" s="47">
        <v>0</v>
      </c>
      <c r="F52" s="47">
        <v>0</v>
      </c>
      <c r="G52" s="47">
        <v>0</v>
      </c>
      <c r="H52" s="47">
        <v>0</v>
      </c>
      <c r="I52" s="47">
        <v>0</v>
      </c>
      <c r="J52" s="47">
        <v>0</v>
      </c>
      <c r="K52" s="47">
        <v>0</v>
      </c>
      <c r="L52" s="47">
        <v>0</v>
      </c>
      <c r="M52" s="47">
        <v>0</v>
      </c>
      <c r="N52" s="48">
        <f t="shared" si="14"/>
        <v>0</v>
      </c>
    </row>
    <row r="53" spans="1:14" x14ac:dyDescent="0.25">
      <c r="A53" s="42" t="s">
        <v>29</v>
      </c>
      <c r="B53" s="47">
        <v>0</v>
      </c>
      <c r="C53" s="47">
        <v>0</v>
      </c>
      <c r="D53" s="47">
        <v>0</v>
      </c>
      <c r="E53" s="47">
        <v>0</v>
      </c>
      <c r="F53" s="47">
        <v>0</v>
      </c>
      <c r="G53" s="47">
        <v>0</v>
      </c>
      <c r="H53" s="47">
        <v>0</v>
      </c>
      <c r="I53" s="47">
        <v>0</v>
      </c>
      <c r="J53" s="47">
        <v>0</v>
      </c>
      <c r="K53" s="47">
        <v>0</v>
      </c>
      <c r="L53" s="47">
        <v>0</v>
      </c>
      <c r="M53" s="47">
        <v>0</v>
      </c>
      <c r="N53" s="48">
        <f t="shared" si="14"/>
        <v>0</v>
      </c>
    </row>
    <row r="54" spans="1:14" x14ac:dyDescent="0.25">
      <c r="A54" s="42" t="s">
        <v>31</v>
      </c>
      <c r="B54" s="47">
        <v>0</v>
      </c>
      <c r="C54" s="47">
        <v>0</v>
      </c>
      <c r="D54" s="47">
        <v>0</v>
      </c>
      <c r="E54" s="47">
        <v>0</v>
      </c>
      <c r="F54" s="47">
        <v>0</v>
      </c>
      <c r="G54" s="47">
        <v>0</v>
      </c>
      <c r="H54" s="47">
        <v>0</v>
      </c>
      <c r="I54" s="47">
        <v>0</v>
      </c>
      <c r="J54" s="47">
        <v>0</v>
      </c>
      <c r="K54" s="47">
        <v>0</v>
      </c>
      <c r="L54" s="47">
        <v>0</v>
      </c>
      <c r="M54" s="47">
        <v>0</v>
      </c>
      <c r="N54" s="48">
        <f t="shared" si="14"/>
        <v>0</v>
      </c>
    </row>
    <row r="55" spans="1:14" x14ac:dyDescent="0.25">
      <c r="A55" s="42" t="s">
        <v>33</v>
      </c>
      <c r="B55" s="47">
        <v>0</v>
      </c>
      <c r="C55" s="47">
        <v>0</v>
      </c>
      <c r="D55" s="47">
        <v>0</v>
      </c>
      <c r="E55" s="47">
        <v>0</v>
      </c>
      <c r="F55" s="47">
        <v>0</v>
      </c>
      <c r="G55" s="47">
        <v>0</v>
      </c>
      <c r="H55" s="47">
        <v>0</v>
      </c>
      <c r="I55" s="47">
        <v>0</v>
      </c>
      <c r="J55" s="47">
        <v>0</v>
      </c>
      <c r="K55" s="47">
        <v>0</v>
      </c>
      <c r="L55" s="47">
        <v>0</v>
      </c>
      <c r="M55" s="47">
        <v>0</v>
      </c>
      <c r="N55" s="48">
        <f t="shared" si="14"/>
        <v>0</v>
      </c>
    </row>
    <row r="56" spans="1:14" x14ac:dyDescent="0.25">
      <c r="A56" s="42" t="s">
        <v>35</v>
      </c>
      <c r="B56" s="47">
        <v>0</v>
      </c>
      <c r="C56" s="47">
        <v>0</v>
      </c>
      <c r="D56" s="47">
        <v>0</v>
      </c>
      <c r="E56" s="47">
        <v>0</v>
      </c>
      <c r="F56" s="47">
        <v>0</v>
      </c>
      <c r="G56" s="47">
        <v>0</v>
      </c>
      <c r="H56" s="47">
        <v>0</v>
      </c>
      <c r="I56" s="47">
        <v>0</v>
      </c>
      <c r="J56" s="47">
        <v>0</v>
      </c>
      <c r="K56" s="47">
        <v>0</v>
      </c>
      <c r="L56" s="47">
        <v>0</v>
      </c>
      <c r="M56" s="47">
        <v>0</v>
      </c>
      <c r="N56" s="48">
        <f t="shared" si="14"/>
        <v>0</v>
      </c>
    </row>
    <row r="57" spans="1:14" x14ac:dyDescent="0.25">
      <c r="A57" s="49" t="s">
        <v>36</v>
      </c>
      <c r="B57" s="47">
        <v>0</v>
      </c>
      <c r="C57" s="47">
        <v>0</v>
      </c>
      <c r="D57" s="47">
        <v>0</v>
      </c>
      <c r="E57" s="47">
        <v>0</v>
      </c>
      <c r="F57" s="47">
        <v>0</v>
      </c>
      <c r="G57" s="47">
        <v>0</v>
      </c>
      <c r="H57" s="47">
        <v>0</v>
      </c>
      <c r="I57" s="47">
        <v>0</v>
      </c>
      <c r="J57" s="47">
        <v>0</v>
      </c>
      <c r="K57" s="47">
        <v>0</v>
      </c>
      <c r="L57" s="47">
        <v>0</v>
      </c>
      <c r="M57" s="47">
        <v>0</v>
      </c>
      <c r="N57" s="48">
        <f t="shared" si="14"/>
        <v>0</v>
      </c>
    </row>
    <row r="58" spans="1:14" x14ac:dyDescent="0.25">
      <c r="A58" s="50" t="s">
        <v>2</v>
      </c>
      <c r="B58" s="51">
        <f>SUM(B44:B57)</f>
        <v>494</v>
      </c>
      <c r="C58" s="51">
        <f t="shared" ref="C58:N58" si="15">SUM(C44:C57)</f>
        <v>494</v>
      </c>
      <c r="D58" s="51">
        <f t="shared" si="15"/>
        <v>494</v>
      </c>
      <c r="E58" s="51">
        <f t="shared" si="15"/>
        <v>494</v>
      </c>
      <c r="F58" s="51">
        <f t="shared" si="15"/>
        <v>494</v>
      </c>
      <c r="G58" s="51">
        <f t="shared" si="15"/>
        <v>494</v>
      </c>
      <c r="H58" s="51">
        <f t="shared" si="15"/>
        <v>494</v>
      </c>
      <c r="I58" s="51">
        <f t="shared" si="15"/>
        <v>494</v>
      </c>
      <c r="J58" s="51">
        <f t="shared" si="15"/>
        <v>494</v>
      </c>
      <c r="K58" s="51">
        <f t="shared" si="15"/>
        <v>494</v>
      </c>
      <c r="L58" s="51">
        <f t="shared" si="15"/>
        <v>494</v>
      </c>
      <c r="M58" s="51">
        <f t="shared" si="15"/>
        <v>494</v>
      </c>
      <c r="N58" s="51">
        <f t="shared" si="15"/>
        <v>5928</v>
      </c>
    </row>
    <row r="60" spans="1:14" ht="17.25" x14ac:dyDescent="0.25">
      <c r="A60" s="53" t="s">
        <v>83</v>
      </c>
    </row>
    <row r="61" spans="1:14" x14ac:dyDescent="0.25">
      <c r="A61" s="43" t="s">
        <v>52</v>
      </c>
      <c r="B61" s="45">
        <f>B7</f>
        <v>45231</v>
      </c>
      <c r="C61" s="45">
        <f t="shared" ref="C61:M61" si="16">C7</f>
        <v>45261</v>
      </c>
      <c r="D61" s="45">
        <f t="shared" si="16"/>
        <v>45292</v>
      </c>
      <c r="E61" s="45">
        <f t="shared" si="16"/>
        <v>45323</v>
      </c>
      <c r="F61" s="45">
        <f t="shared" si="16"/>
        <v>45352</v>
      </c>
      <c r="G61" s="45">
        <f t="shared" si="16"/>
        <v>45383</v>
      </c>
      <c r="H61" s="45">
        <f t="shared" si="16"/>
        <v>45413</v>
      </c>
      <c r="I61" s="45">
        <f t="shared" si="16"/>
        <v>45444</v>
      </c>
      <c r="J61" s="45">
        <f t="shared" si="16"/>
        <v>45474</v>
      </c>
      <c r="K61" s="45">
        <f t="shared" si="16"/>
        <v>45505</v>
      </c>
      <c r="L61" s="45">
        <f t="shared" si="16"/>
        <v>45536</v>
      </c>
      <c r="M61" s="45">
        <f t="shared" si="16"/>
        <v>45566</v>
      </c>
      <c r="N61" s="46" t="s">
        <v>2</v>
      </c>
    </row>
    <row r="62" spans="1:14" x14ac:dyDescent="0.25">
      <c r="A62" s="42">
        <v>16</v>
      </c>
      <c r="B62" s="47">
        <v>0</v>
      </c>
      <c r="C62" s="47">
        <v>0</v>
      </c>
      <c r="D62" s="47">
        <v>0</v>
      </c>
      <c r="E62" s="47">
        <v>0</v>
      </c>
      <c r="F62" s="47">
        <v>0</v>
      </c>
      <c r="G62" s="47">
        <v>0</v>
      </c>
      <c r="H62" s="47">
        <v>0</v>
      </c>
      <c r="I62" s="47">
        <v>0</v>
      </c>
      <c r="J62" s="47">
        <v>0</v>
      </c>
      <c r="K62" s="47">
        <v>0</v>
      </c>
      <c r="L62" s="47">
        <v>0</v>
      </c>
      <c r="M62" s="47">
        <v>0</v>
      </c>
      <c r="N62" s="48">
        <f>SUM(B62:M62)</f>
        <v>0</v>
      </c>
    </row>
    <row r="63" spans="1:14" x14ac:dyDescent="0.25">
      <c r="A63" s="42">
        <v>23</v>
      </c>
      <c r="B63" s="47">
        <v>0</v>
      </c>
      <c r="C63" s="47">
        <v>0</v>
      </c>
      <c r="D63" s="47">
        <v>0</v>
      </c>
      <c r="E63" s="47">
        <v>0</v>
      </c>
      <c r="F63" s="47">
        <v>0</v>
      </c>
      <c r="G63" s="47">
        <v>0</v>
      </c>
      <c r="H63" s="47">
        <v>0</v>
      </c>
      <c r="I63" s="47">
        <v>0</v>
      </c>
      <c r="J63" s="47">
        <v>0</v>
      </c>
      <c r="K63" s="47">
        <v>0</v>
      </c>
      <c r="L63" s="47">
        <v>0</v>
      </c>
      <c r="M63" s="47">
        <v>0</v>
      </c>
      <c r="N63" s="48">
        <f t="shared" ref="N63:N75" si="17">SUM(B63:M63)</f>
        <v>0</v>
      </c>
    </row>
    <row r="64" spans="1:14" x14ac:dyDescent="0.25">
      <c r="A64" s="42">
        <v>53</v>
      </c>
      <c r="B64" s="47">
        <v>0</v>
      </c>
      <c r="C64" s="47">
        <v>0</v>
      </c>
      <c r="D64" s="47">
        <v>0</v>
      </c>
      <c r="E64" s="47">
        <v>0</v>
      </c>
      <c r="F64" s="47">
        <v>0</v>
      </c>
      <c r="G64" s="47">
        <v>0</v>
      </c>
      <c r="H64" s="47">
        <v>0</v>
      </c>
      <c r="I64" s="47">
        <v>0</v>
      </c>
      <c r="J64" s="47">
        <v>0</v>
      </c>
      <c r="K64" s="47">
        <v>0</v>
      </c>
      <c r="L64" s="47">
        <v>0</v>
      </c>
      <c r="M64" s="47">
        <v>0</v>
      </c>
      <c r="N64" s="48">
        <f t="shared" si="17"/>
        <v>0</v>
      </c>
    </row>
    <row r="65" spans="1:14" x14ac:dyDescent="0.25">
      <c r="A65" s="42">
        <v>31</v>
      </c>
      <c r="B65" s="47">
        <v>0</v>
      </c>
      <c r="C65" s="47">
        <v>0</v>
      </c>
      <c r="D65" s="47">
        <v>0</v>
      </c>
      <c r="E65" s="47">
        <v>0</v>
      </c>
      <c r="F65" s="47">
        <v>0</v>
      </c>
      <c r="G65" s="47">
        <v>0</v>
      </c>
      <c r="H65" s="47">
        <v>0</v>
      </c>
      <c r="I65" s="47">
        <v>0</v>
      </c>
      <c r="J65" s="47">
        <v>0</v>
      </c>
      <c r="K65" s="47">
        <v>0</v>
      </c>
      <c r="L65" s="47">
        <v>0</v>
      </c>
      <c r="M65" s="47">
        <v>0</v>
      </c>
      <c r="N65" s="48">
        <f t="shared" si="17"/>
        <v>0</v>
      </c>
    </row>
    <row r="66" spans="1:14" x14ac:dyDescent="0.25">
      <c r="A66" s="42">
        <v>41</v>
      </c>
      <c r="B66" s="47">
        <v>0</v>
      </c>
      <c r="C66" s="47">
        <v>0</v>
      </c>
      <c r="D66" s="47">
        <v>0</v>
      </c>
      <c r="E66" s="47">
        <v>0</v>
      </c>
      <c r="F66" s="47">
        <v>0</v>
      </c>
      <c r="G66" s="47">
        <v>0</v>
      </c>
      <c r="H66" s="47">
        <v>0</v>
      </c>
      <c r="I66" s="47">
        <v>0</v>
      </c>
      <c r="J66" s="47">
        <v>0</v>
      </c>
      <c r="K66" s="47">
        <v>0</v>
      </c>
      <c r="L66" s="47">
        <v>0</v>
      </c>
      <c r="M66" s="47">
        <v>0</v>
      </c>
      <c r="N66" s="48">
        <f t="shared" si="17"/>
        <v>0</v>
      </c>
    </row>
    <row r="67" spans="1:14" x14ac:dyDescent="0.25">
      <c r="A67" s="42">
        <v>85</v>
      </c>
      <c r="B67" s="47">
        <v>0</v>
      </c>
      <c r="C67" s="47">
        <v>0</v>
      </c>
      <c r="D67" s="47">
        <v>0</v>
      </c>
      <c r="E67" s="47">
        <v>0</v>
      </c>
      <c r="F67" s="47">
        <v>0</v>
      </c>
      <c r="G67" s="47">
        <v>0</v>
      </c>
      <c r="H67" s="47">
        <v>0</v>
      </c>
      <c r="I67" s="47">
        <v>0</v>
      </c>
      <c r="J67" s="47">
        <v>0</v>
      </c>
      <c r="K67" s="47">
        <v>0</v>
      </c>
      <c r="L67" s="47">
        <v>0</v>
      </c>
      <c r="M67" s="47">
        <v>0</v>
      </c>
      <c r="N67" s="48">
        <f t="shared" si="17"/>
        <v>0</v>
      </c>
    </row>
    <row r="68" spans="1:14" x14ac:dyDescent="0.25">
      <c r="A68" s="42">
        <v>86</v>
      </c>
      <c r="B68" s="47">
        <v>0</v>
      </c>
      <c r="C68" s="47">
        <v>0</v>
      </c>
      <c r="D68" s="47">
        <v>0</v>
      </c>
      <c r="E68" s="47">
        <v>0</v>
      </c>
      <c r="F68" s="47">
        <v>0</v>
      </c>
      <c r="G68" s="47">
        <v>0</v>
      </c>
      <c r="H68" s="47">
        <v>0</v>
      </c>
      <c r="I68" s="47">
        <v>0</v>
      </c>
      <c r="J68" s="47">
        <v>0</v>
      </c>
      <c r="K68" s="47">
        <v>0</v>
      </c>
      <c r="L68" s="47">
        <v>0</v>
      </c>
      <c r="M68" s="47">
        <v>0</v>
      </c>
      <c r="N68" s="48">
        <f t="shared" si="17"/>
        <v>0</v>
      </c>
    </row>
    <row r="69" spans="1:14" x14ac:dyDescent="0.25">
      <c r="A69" s="42">
        <v>87</v>
      </c>
      <c r="B69" s="47">
        <v>0</v>
      </c>
      <c r="C69" s="47">
        <v>0</v>
      </c>
      <c r="D69" s="47">
        <v>0</v>
      </c>
      <c r="E69" s="47">
        <v>0</v>
      </c>
      <c r="F69" s="47">
        <v>0</v>
      </c>
      <c r="G69" s="47">
        <v>0</v>
      </c>
      <c r="H69" s="47">
        <v>0</v>
      </c>
      <c r="I69" s="47">
        <v>0</v>
      </c>
      <c r="J69" s="47">
        <v>0</v>
      </c>
      <c r="K69" s="47">
        <v>0</v>
      </c>
      <c r="L69" s="47">
        <v>0</v>
      </c>
      <c r="M69" s="47">
        <v>0</v>
      </c>
      <c r="N69" s="48">
        <f t="shared" si="17"/>
        <v>0</v>
      </c>
    </row>
    <row r="70" spans="1:14" x14ac:dyDescent="0.25">
      <c r="A70" s="42" t="s">
        <v>27</v>
      </c>
      <c r="B70" s="47">
        <v>0</v>
      </c>
      <c r="C70" s="47">
        <v>0</v>
      </c>
      <c r="D70" s="47">
        <v>0</v>
      </c>
      <c r="E70" s="47">
        <v>0</v>
      </c>
      <c r="F70" s="47">
        <v>0</v>
      </c>
      <c r="G70" s="47">
        <v>0</v>
      </c>
      <c r="H70" s="47">
        <v>0</v>
      </c>
      <c r="I70" s="47">
        <v>0</v>
      </c>
      <c r="J70" s="47">
        <v>0</v>
      </c>
      <c r="K70" s="47">
        <v>0</v>
      </c>
      <c r="L70" s="47">
        <v>0</v>
      </c>
      <c r="M70" s="47">
        <v>0</v>
      </c>
      <c r="N70" s="48">
        <f t="shared" si="17"/>
        <v>0</v>
      </c>
    </row>
    <row r="71" spans="1:14" x14ac:dyDescent="0.25">
      <c r="A71" s="42" t="s">
        <v>29</v>
      </c>
      <c r="B71" s="47">
        <v>0</v>
      </c>
      <c r="C71" s="47">
        <v>0</v>
      </c>
      <c r="D71" s="47">
        <v>0</v>
      </c>
      <c r="E71" s="47">
        <v>0</v>
      </c>
      <c r="F71" s="47">
        <v>0</v>
      </c>
      <c r="G71" s="47">
        <v>0</v>
      </c>
      <c r="H71" s="47">
        <v>0</v>
      </c>
      <c r="I71" s="47">
        <v>0</v>
      </c>
      <c r="J71" s="47">
        <v>0</v>
      </c>
      <c r="K71" s="47">
        <v>0</v>
      </c>
      <c r="L71" s="47">
        <v>0</v>
      </c>
      <c r="M71" s="47">
        <v>0</v>
      </c>
      <c r="N71" s="48">
        <f t="shared" si="17"/>
        <v>0</v>
      </c>
    </row>
    <row r="72" spans="1:14" x14ac:dyDescent="0.25">
      <c r="A72" s="42" t="s">
        <v>31</v>
      </c>
      <c r="B72" s="47">
        <v>0</v>
      </c>
      <c r="C72" s="47">
        <v>0</v>
      </c>
      <c r="D72" s="47">
        <v>0</v>
      </c>
      <c r="E72" s="47">
        <v>0</v>
      </c>
      <c r="F72" s="47">
        <v>0</v>
      </c>
      <c r="G72" s="47">
        <v>0</v>
      </c>
      <c r="H72" s="47">
        <v>0</v>
      </c>
      <c r="I72" s="47">
        <v>0</v>
      </c>
      <c r="J72" s="47">
        <v>0</v>
      </c>
      <c r="K72" s="47">
        <v>0</v>
      </c>
      <c r="L72" s="47">
        <v>0</v>
      </c>
      <c r="M72" s="47">
        <v>0</v>
      </c>
      <c r="N72" s="48">
        <f t="shared" si="17"/>
        <v>0</v>
      </c>
    </row>
    <row r="73" spans="1:14" x14ac:dyDescent="0.25">
      <c r="A73" s="42" t="s">
        <v>33</v>
      </c>
      <c r="B73" s="47">
        <v>0</v>
      </c>
      <c r="C73" s="47">
        <v>0</v>
      </c>
      <c r="D73" s="47">
        <v>0</v>
      </c>
      <c r="E73" s="47">
        <v>0</v>
      </c>
      <c r="F73" s="47">
        <v>0</v>
      </c>
      <c r="G73" s="47">
        <v>0</v>
      </c>
      <c r="H73" s="47">
        <v>0</v>
      </c>
      <c r="I73" s="47">
        <v>0</v>
      </c>
      <c r="J73" s="47">
        <v>0</v>
      </c>
      <c r="K73" s="47">
        <v>0</v>
      </c>
      <c r="L73" s="47">
        <v>0</v>
      </c>
      <c r="M73" s="47">
        <v>0</v>
      </c>
      <c r="N73" s="48">
        <f t="shared" si="17"/>
        <v>0</v>
      </c>
    </row>
    <row r="74" spans="1:14" x14ac:dyDescent="0.25">
      <c r="A74" s="42" t="s">
        <v>35</v>
      </c>
      <c r="B74" s="47">
        <v>0</v>
      </c>
      <c r="C74" s="47">
        <v>0</v>
      </c>
      <c r="D74" s="47">
        <v>0</v>
      </c>
      <c r="E74" s="47">
        <v>0</v>
      </c>
      <c r="F74" s="47">
        <v>0</v>
      </c>
      <c r="G74" s="47">
        <v>0</v>
      </c>
      <c r="H74" s="47">
        <v>0</v>
      </c>
      <c r="I74" s="47">
        <v>0</v>
      </c>
      <c r="J74" s="47">
        <v>0</v>
      </c>
      <c r="K74" s="47">
        <v>0</v>
      </c>
      <c r="L74" s="47">
        <v>0</v>
      </c>
      <c r="M74" s="47">
        <v>0</v>
      </c>
      <c r="N74" s="48">
        <f t="shared" si="17"/>
        <v>0</v>
      </c>
    </row>
    <row r="75" spans="1:14" x14ac:dyDescent="0.25">
      <c r="A75" s="49" t="s">
        <v>36</v>
      </c>
      <c r="B75" s="47">
        <v>0</v>
      </c>
      <c r="C75" s="47">
        <v>0</v>
      </c>
      <c r="D75" s="47">
        <v>0</v>
      </c>
      <c r="E75" s="47">
        <v>0</v>
      </c>
      <c r="F75" s="47">
        <v>0</v>
      </c>
      <c r="G75" s="47">
        <v>0</v>
      </c>
      <c r="H75" s="47">
        <v>0</v>
      </c>
      <c r="I75" s="47">
        <v>0</v>
      </c>
      <c r="J75" s="47">
        <v>0</v>
      </c>
      <c r="K75" s="47">
        <v>0</v>
      </c>
      <c r="L75" s="47">
        <v>0</v>
      </c>
      <c r="M75" s="47">
        <v>0</v>
      </c>
      <c r="N75" s="48">
        <f t="shared" si="17"/>
        <v>0</v>
      </c>
    </row>
    <row r="76" spans="1:14" x14ac:dyDescent="0.25">
      <c r="A76" s="50" t="s">
        <v>2</v>
      </c>
      <c r="B76" s="51">
        <f>SUM(B62:B75)</f>
        <v>0</v>
      </c>
      <c r="C76" s="51">
        <f t="shared" ref="C76:N76" si="18">SUM(C62:C75)</f>
        <v>0</v>
      </c>
      <c r="D76" s="51">
        <f t="shared" si="18"/>
        <v>0</v>
      </c>
      <c r="E76" s="51">
        <f t="shared" si="18"/>
        <v>0</v>
      </c>
      <c r="F76" s="51">
        <f t="shared" si="18"/>
        <v>0</v>
      </c>
      <c r="G76" s="51">
        <f t="shared" si="18"/>
        <v>0</v>
      </c>
      <c r="H76" s="51">
        <f t="shared" si="18"/>
        <v>0</v>
      </c>
      <c r="I76" s="51">
        <f t="shared" si="18"/>
        <v>0</v>
      </c>
      <c r="J76" s="51">
        <f t="shared" si="18"/>
        <v>0</v>
      </c>
      <c r="K76" s="51">
        <f t="shared" si="18"/>
        <v>0</v>
      </c>
      <c r="L76" s="51">
        <f t="shared" si="18"/>
        <v>0</v>
      </c>
      <c r="M76" s="51">
        <f t="shared" si="18"/>
        <v>0</v>
      </c>
      <c r="N76" s="51">
        <f t="shared" si="18"/>
        <v>0</v>
      </c>
    </row>
    <row r="78" spans="1:14" ht="17.25" x14ac:dyDescent="0.25">
      <c r="A78" s="53" t="s">
        <v>84</v>
      </c>
    </row>
    <row r="79" spans="1:14" x14ac:dyDescent="0.25">
      <c r="A79" s="43" t="s">
        <v>52</v>
      </c>
      <c r="B79" s="45">
        <f>B25</f>
        <v>45231</v>
      </c>
      <c r="C79" s="45">
        <f t="shared" ref="C79:M79" si="19">C25</f>
        <v>45261</v>
      </c>
      <c r="D79" s="45">
        <f t="shared" si="19"/>
        <v>45292</v>
      </c>
      <c r="E79" s="45">
        <f t="shared" si="19"/>
        <v>45323</v>
      </c>
      <c r="F79" s="45">
        <f t="shared" si="19"/>
        <v>45352</v>
      </c>
      <c r="G79" s="45">
        <f t="shared" si="19"/>
        <v>45383</v>
      </c>
      <c r="H79" s="45">
        <f t="shared" si="19"/>
        <v>45413</v>
      </c>
      <c r="I79" s="45">
        <f t="shared" si="19"/>
        <v>45444</v>
      </c>
      <c r="J79" s="45">
        <f t="shared" si="19"/>
        <v>45474</v>
      </c>
      <c r="K79" s="45">
        <f t="shared" si="19"/>
        <v>45505</v>
      </c>
      <c r="L79" s="45">
        <f t="shared" si="19"/>
        <v>45536</v>
      </c>
      <c r="M79" s="45">
        <f t="shared" si="19"/>
        <v>45566</v>
      </c>
      <c r="N79" s="46" t="s">
        <v>2</v>
      </c>
    </row>
    <row r="80" spans="1:14" x14ac:dyDescent="0.25">
      <c r="A80" s="42">
        <v>16</v>
      </c>
      <c r="B80" s="54">
        <f>'Low Income Forecast'!B26</f>
        <v>0</v>
      </c>
      <c r="C80" s="54">
        <f>'Low Income Forecast'!C26</f>
        <v>0</v>
      </c>
      <c r="D80" s="54">
        <f>'Low Income Forecast'!D26</f>
        <v>0</v>
      </c>
      <c r="E80" s="54">
        <f>'Low Income Forecast'!E26</f>
        <v>0</v>
      </c>
      <c r="F80" s="54">
        <f>'Low Income Forecast'!F26</f>
        <v>0</v>
      </c>
      <c r="G80" s="54">
        <f>'Low Income Forecast'!G26</f>
        <v>0</v>
      </c>
      <c r="H80" s="54">
        <f>'Low Income Forecast'!H26</f>
        <v>0</v>
      </c>
      <c r="I80" s="54">
        <f>'Low Income Forecast'!I26</f>
        <v>0</v>
      </c>
      <c r="J80" s="54">
        <f>'Low Income Forecast'!J26</f>
        <v>0</v>
      </c>
      <c r="K80" s="54">
        <f>'Low Income Forecast'!K26</f>
        <v>0</v>
      </c>
      <c r="L80" s="54">
        <f>'Low Income Forecast'!L26</f>
        <v>0</v>
      </c>
      <c r="M80" s="54">
        <f>'Low Income Forecast'!M26</f>
        <v>0</v>
      </c>
      <c r="N80" s="48">
        <f>SUM(B80:M80)</f>
        <v>0</v>
      </c>
    </row>
    <row r="81" spans="1:14" x14ac:dyDescent="0.25">
      <c r="A81" s="42">
        <v>23</v>
      </c>
      <c r="B81" s="54">
        <f>'Low Income Forecast'!B27</f>
        <v>38670.609133385129</v>
      </c>
      <c r="C81" s="54">
        <f>'Low Income Forecast'!C27</f>
        <v>70011.283992434226</v>
      </c>
      <c r="D81" s="54">
        <f>'Low Income Forecast'!D27</f>
        <v>70594.711359037858</v>
      </c>
      <c r="E81" s="54">
        <f>'Low Income Forecast'!E27</f>
        <v>71183.000620363164</v>
      </c>
      <c r="F81" s="54">
        <f>'Low Income Forecast'!F27</f>
        <v>71776.192292199514</v>
      </c>
      <c r="G81" s="54">
        <f>'Low Income Forecast'!G27</f>
        <v>72374.327227967849</v>
      </c>
      <c r="H81" s="54">
        <f>'Low Income Forecast'!H27</f>
        <v>72977.44662153424</v>
      </c>
      <c r="I81" s="54">
        <f>'Low Income Forecast'!I27</f>
        <v>73585.592010047025</v>
      </c>
      <c r="J81" s="54">
        <f>'Low Income Forecast'!J27</f>
        <v>74198.8052767974</v>
      </c>
      <c r="K81" s="54">
        <f>'Low Income Forecast'!K27</f>
        <v>74817.128654104046</v>
      </c>
      <c r="L81" s="54">
        <f>'Low Income Forecast'!L27</f>
        <v>75440.604726221587</v>
      </c>
      <c r="M81" s="54">
        <f>'Low Income Forecast'!M27</f>
        <v>76069.276432273415</v>
      </c>
      <c r="N81" s="48">
        <f t="shared" ref="N81:N93" si="20">SUM(B81:M81)</f>
        <v>841698.9783463655</v>
      </c>
    </row>
    <row r="82" spans="1:14" x14ac:dyDescent="0.25">
      <c r="A82" s="42">
        <v>53</v>
      </c>
      <c r="B82" s="54">
        <f>'Low Income Forecast'!B28</f>
        <v>0</v>
      </c>
      <c r="C82" s="54">
        <f>'Low Income Forecast'!C28</f>
        <v>0</v>
      </c>
      <c r="D82" s="54">
        <f>'Low Income Forecast'!D28</f>
        <v>0</v>
      </c>
      <c r="E82" s="54">
        <f>'Low Income Forecast'!E28</f>
        <v>0</v>
      </c>
      <c r="F82" s="54">
        <f>'Low Income Forecast'!F28</f>
        <v>0</v>
      </c>
      <c r="G82" s="54">
        <f>'Low Income Forecast'!G28</f>
        <v>0</v>
      </c>
      <c r="H82" s="54">
        <f>'Low Income Forecast'!H28</f>
        <v>0</v>
      </c>
      <c r="I82" s="54">
        <f>'Low Income Forecast'!I28</f>
        <v>0</v>
      </c>
      <c r="J82" s="54">
        <f>'Low Income Forecast'!J28</f>
        <v>0</v>
      </c>
      <c r="K82" s="54">
        <f>'Low Income Forecast'!K28</f>
        <v>0</v>
      </c>
      <c r="L82" s="54">
        <f>'Low Income Forecast'!L28</f>
        <v>0</v>
      </c>
      <c r="M82" s="54">
        <f>'Low Income Forecast'!M28</f>
        <v>0</v>
      </c>
      <c r="N82" s="48">
        <f t="shared" si="20"/>
        <v>0</v>
      </c>
    </row>
    <row r="83" spans="1:14" x14ac:dyDescent="0.25">
      <c r="A83" s="42">
        <v>31</v>
      </c>
      <c r="B83" s="54">
        <f>'Low Income Forecast'!B29</f>
        <v>0</v>
      </c>
      <c r="C83" s="54">
        <f>'Low Income Forecast'!C29</f>
        <v>0</v>
      </c>
      <c r="D83" s="54">
        <f>'Low Income Forecast'!D29</f>
        <v>0</v>
      </c>
      <c r="E83" s="54">
        <f>'Low Income Forecast'!E29</f>
        <v>0</v>
      </c>
      <c r="F83" s="54">
        <f>'Low Income Forecast'!F29</f>
        <v>0</v>
      </c>
      <c r="G83" s="54">
        <f>'Low Income Forecast'!G29</f>
        <v>0</v>
      </c>
      <c r="H83" s="54">
        <f>'Low Income Forecast'!H29</f>
        <v>0</v>
      </c>
      <c r="I83" s="54">
        <f>'Low Income Forecast'!I29</f>
        <v>0</v>
      </c>
      <c r="J83" s="54">
        <f>'Low Income Forecast'!J29</f>
        <v>0</v>
      </c>
      <c r="K83" s="54">
        <f>'Low Income Forecast'!K29</f>
        <v>0</v>
      </c>
      <c r="L83" s="54">
        <f>'Low Income Forecast'!L29</f>
        <v>0</v>
      </c>
      <c r="M83" s="54">
        <f>'Low Income Forecast'!M29</f>
        <v>0</v>
      </c>
      <c r="N83" s="48">
        <f t="shared" si="20"/>
        <v>0</v>
      </c>
    </row>
    <row r="84" spans="1:14" x14ac:dyDescent="0.25">
      <c r="A84" s="42">
        <v>41</v>
      </c>
      <c r="B84" s="54">
        <f>'Low Income Forecast'!B30</f>
        <v>0</v>
      </c>
      <c r="C84" s="54">
        <f>'Low Income Forecast'!C30</f>
        <v>0</v>
      </c>
      <c r="D84" s="54">
        <f>'Low Income Forecast'!D30</f>
        <v>0</v>
      </c>
      <c r="E84" s="54">
        <f>'Low Income Forecast'!E30</f>
        <v>0</v>
      </c>
      <c r="F84" s="54">
        <f>'Low Income Forecast'!F30</f>
        <v>0</v>
      </c>
      <c r="G84" s="54">
        <f>'Low Income Forecast'!G30</f>
        <v>0</v>
      </c>
      <c r="H84" s="54">
        <f>'Low Income Forecast'!H30</f>
        <v>0</v>
      </c>
      <c r="I84" s="54">
        <f>'Low Income Forecast'!I30</f>
        <v>0</v>
      </c>
      <c r="J84" s="54">
        <f>'Low Income Forecast'!J30</f>
        <v>0</v>
      </c>
      <c r="K84" s="54">
        <f>'Low Income Forecast'!K30</f>
        <v>0</v>
      </c>
      <c r="L84" s="54">
        <f>'Low Income Forecast'!L30</f>
        <v>0</v>
      </c>
      <c r="M84" s="54">
        <f>'Low Income Forecast'!M30</f>
        <v>0</v>
      </c>
      <c r="N84" s="48">
        <f t="shared" si="20"/>
        <v>0</v>
      </c>
    </row>
    <row r="85" spans="1:14" x14ac:dyDescent="0.25">
      <c r="A85" s="42">
        <v>85</v>
      </c>
      <c r="B85" s="54">
        <f>'Low Income Forecast'!B31</f>
        <v>0</v>
      </c>
      <c r="C85" s="54">
        <f>'Low Income Forecast'!C31</f>
        <v>0</v>
      </c>
      <c r="D85" s="54">
        <f>'Low Income Forecast'!D31</f>
        <v>0</v>
      </c>
      <c r="E85" s="54">
        <f>'Low Income Forecast'!E31</f>
        <v>0</v>
      </c>
      <c r="F85" s="54">
        <f>'Low Income Forecast'!F31</f>
        <v>0</v>
      </c>
      <c r="G85" s="54">
        <f>'Low Income Forecast'!G31</f>
        <v>0</v>
      </c>
      <c r="H85" s="54">
        <f>'Low Income Forecast'!H31</f>
        <v>0</v>
      </c>
      <c r="I85" s="54">
        <f>'Low Income Forecast'!I31</f>
        <v>0</v>
      </c>
      <c r="J85" s="54">
        <f>'Low Income Forecast'!J31</f>
        <v>0</v>
      </c>
      <c r="K85" s="54">
        <f>'Low Income Forecast'!K31</f>
        <v>0</v>
      </c>
      <c r="L85" s="54">
        <f>'Low Income Forecast'!L31</f>
        <v>0</v>
      </c>
      <c r="M85" s="54">
        <f>'Low Income Forecast'!M31</f>
        <v>0</v>
      </c>
      <c r="N85" s="48">
        <f t="shared" si="20"/>
        <v>0</v>
      </c>
    </row>
    <row r="86" spans="1:14" x14ac:dyDescent="0.25">
      <c r="A86" s="42">
        <v>86</v>
      </c>
      <c r="B86" s="54">
        <f>'Low Income Forecast'!B32</f>
        <v>0</v>
      </c>
      <c r="C86" s="54">
        <f>'Low Income Forecast'!C32</f>
        <v>0</v>
      </c>
      <c r="D86" s="54">
        <f>'Low Income Forecast'!D32</f>
        <v>0</v>
      </c>
      <c r="E86" s="54">
        <f>'Low Income Forecast'!E32</f>
        <v>0</v>
      </c>
      <c r="F86" s="54">
        <f>'Low Income Forecast'!F32</f>
        <v>0</v>
      </c>
      <c r="G86" s="54">
        <f>'Low Income Forecast'!G32</f>
        <v>0</v>
      </c>
      <c r="H86" s="54">
        <f>'Low Income Forecast'!H32</f>
        <v>0</v>
      </c>
      <c r="I86" s="54">
        <f>'Low Income Forecast'!I32</f>
        <v>0</v>
      </c>
      <c r="J86" s="54">
        <f>'Low Income Forecast'!J32</f>
        <v>0</v>
      </c>
      <c r="K86" s="54">
        <f>'Low Income Forecast'!K32</f>
        <v>0</v>
      </c>
      <c r="L86" s="54">
        <f>'Low Income Forecast'!L32</f>
        <v>0</v>
      </c>
      <c r="M86" s="54">
        <f>'Low Income Forecast'!M32</f>
        <v>0</v>
      </c>
      <c r="N86" s="48">
        <f t="shared" si="20"/>
        <v>0</v>
      </c>
    </row>
    <row r="87" spans="1:14" x14ac:dyDescent="0.25">
      <c r="A87" s="42">
        <v>87</v>
      </c>
      <c r="B87" s="54">
        <f>'Low Income Forecast'!B33</f>
        <v>0</v>
      </c>
      <c r="C87" s="54">
        <f>'Low Income Forecast'!C33</f>
        <v>0</v>
      </c>
      <c r="D87" s="54">
        <f>'Low Income Forecast'!D33</f>
        <v>0</v>
      </c>
      <c r="E87" s="54">
        <f>'Low Income Forecast'!E33</f>
        <v>0</v>
      </c>
      <c r="F87" s="54">
        <f>'Low Income Forecast'!F33</f>
        <v>0</v>
      </c>
      <c r="G87" s="54">
        <f>'Low Income Forecast'!G33</f>
        <v>0</v>
      </c>
      <c r="H87" s="54">
        <f>'Low Income Forecast'!H33</f>
        <v>0</v>
      </c>
      <c r="I87" s="54">
        <f>'Low Income Forecast'!I33</f>
        <v>0</v>
      </c>
      <c r="J87" s="54">
        <f>'Low Income Forecast'!J33</f>
        <v>0</v>
      </c>
      <c r="K87" s="54">
        <f>'Low Income Forecast'!K33</f>
        <v>0</v>
      </c>
      <c r="L87" s="54">
        <f>'Low Income Forecast'!L33</f>
        <v>0</v>
      </c>
      <c r="M87" s="54">
        <f>'Low Income Forecast'!M33</f>
        <v>0</v>
      </c>
      <c r="N87" s="48">
        <f t="shared" si="20"/>
        <v>0</v>
      </c>
    </row>
    <row r="88" spans="1:14" x14ac:dyDescent="0.25">
      <c r="A88" s="42" t="s">
        <v>27</v>
      </c>
      <c r="B88" s="54">
        <f>'Low Income Forecast'!B34</f>
        <v>0</v>
      </c>
      <c r="C88" s="54">
        <f>'Low Income Forecast'!C34</f>
        <v>0</v>
      </c>
      <c r="D88" s="54">
        <f>'Low Income Forecast'!D34</f>
        <v>0</v>
      </c>
      <c r="E88" s="54">
        <f>'Low Income Forecast'!E34</f>
        <v>0</v>
      </c>
      <c r="F88" s="54">
        <f>'Low Income Forecast'!F34</f>
        <v>0</v>
      </c>
      <c r="G88" s="54">
        <f>'Low Income Forecast'!G34</f>
        <v>0</v>
      </c>
      <c r="H88" s="54">
        <f>'Low Income Forecast'!H34</f>
        <v>0</v>
      </c>
      <c r="I88" s="54">
        <f>'Low Income Forecast'!I34</f>
        <v>0</v>
      </c>
      <c r="J88" s="54">
        <f>'Low Income Forecast'!J34</f>
        <v>0</v>
      </c>
      <c r="K88" s="54">
        <f>'Low Income Forecast'!K34</f>
        <v>0</v>
      </c>
      <c r="L88" s="54">
        <f>'Low Income Forecast'!L34</f>
        <v>0</v>
      </c>
      <c r="M88" s="54">
        <f>'Low Income Forecast'!M34</f>
        <v>0</v>
      </c>
      <c r="N88" s="48">
        <f t="shared" si="20"/>
        <v>0</v>
      </c>
    </row>
    <row r="89" spans="1:14" x14ac:dyDescent="0.25">
      <c r="A89" s="42" t="s">
        <v>29</v>
      </c>
      <c r="B89" s="54">
        <f>'Low Income Forecast'!B35</f>
        <v>0</v>
      </c>
      <c r="C89" s="54">
        <f>'Low Income Forecast'!C35</f>
        <v>0</v>
      </c>
      <c r="D89" s="54">
        <f>'Low Income Forecast'!D35</f>
        <v>0</v>
      </c>
      <c r="E89" s="54">
        <f>'Low Income Forecast'!E35</f>
        <v>0</v>
      </c>
      <c r="F89" s="54">
        <f>'Low Income Forecast'!F35</f>
        <v>0</v>
      </c>
      <c r="G89" s="54">
        <f>'Low Income Forecast'!G35</f>
        <v>0</v>
      </c>
      <c r="H89" s="54">
        <f>'Low Income Forecast'!H35</f>
        <v>0</v>
      </c>
      <c r="I89" s="54">
        <f>'Low Income Forecast'!I35</f>
        <v>0</v>
      </c>
      <c r="J89" s="54">
        <f>'Low Income Forecast'!J35</f>
        <v>0</v>
      </c>
      <c r="K89" s="54">
        <f>'Low Income Forecast'!K35</f>
        <v>0</v>
      </c>
      <c r="L89" s="54">
        <f>'Low Income Forecast'!L35</f>
        <v>0</v>
      </c>
      <c r="M89" s="54">
        <f>'Low Income Forecast'!M35</f>
        <v>0</v>
      </c>
      <c r="N89" s="48">
        <f t="shared" si="20"/>
        <v>0</v>
      </c>
    </row>
    <row r="90" spans="1:14" x14ac:dyDescent="0.25">
      <c r="A90" s="42" t="s">
        <v>31</v>
      </c>
      <c r="B90" s="54">
        <f>'Low Income Forecast'!B36</f>
        <v>0</v>
      </c>
      <c r="C90" s="54">
        <f>'Low Income Forecast'!C36</f>
        <v>0</v>
      </c>
      <c r="D90" s="54">
        <f>'Low Income Forecast'!D36</f>
        <v>0</v>
      </c>
      <c r="E90" s="54">
        <f>'Low Income Forecast'!E36</f>
        <v>0</v>
      </c>
      <c r="F90" s="54">
        <f>'Low Income Forecast'!F36</f>
        <v>0</v>
      </c>
      <c r="G90" s="54">
        <f>'Low Income Forecast'!G36</f>
        <v>0</v>
      </c>
      <c r="H90" s="54">
        <f>'Low Income Forecast'!H36</f>
        <v>0</v>
      </c>
      <c r="I90" s="54">
        <f>'Low Income Forecast'!I36</f>
        <v>0</v>
      </c>
      <c r="J90" s="54">
        <f>'Low Income Forecast'!J36</f>
        <v>0</v>
      </c>
      <c r="K90" s="54">
        <f>'Low Income Forecast'!K36</f>
        <v>0</v>
      </c>
      <c r="L90" s="54">
        <f>'Low Income Forecast'!L36</f>
        <v>0</v>
      </c>
      <c r="M90" s="54">
        <f>'Low Income Forecast'!M36</f>
        <v>0</v>
      </c>
      <c r="N90" s="48">
        <f t="shared" si="20"/>
        <v>0</v>
      </c>
    </row>
    <row r="91" spans="1:14" x14ac:dyDescent="0.25">
      <c r="A91" s="42" t="s">
        <v>33</v>
      </c>
      <c r="B91" s="54">
        <f>'Low Income Forecast'!B37</f>
        <v>0</v>
      </c>
      <c r="C91" s="54">
        <f>'Low Income Forecast'!C37</f>
        <v>0</v>
      </c>
      <c r="D91" s="54">
        <f>'Low Income Forecast'!D37</f>
        <v>0</v>
      </c>
      <c r="E91" s="54">
        <f>'Low Income Forecast'!E37</f>
        <v>0</v>
      </c>
      <c r="F91" s="54">
        <f>'Low Income Forecast'!F37</f>
        <v>0</v>
      </c>
      <c r="G91" s="54">
        <f>'Low Income Forecast'!G37</f>
        <v>0</v>
      </c>
      <c r="H91" s="54">
        <f>'Low Income Forecast'!H37</f>
        <v>0</v>
      </c>
      <c r="I91" s="54">
        <f>'Low Income Forecast'!I37</f>
        <v>0</v>
      </c>
      <c r="J91" s="54">
        <f>'Low Income Forecast'!J37</f>
        <v>0</v>
      </c>
      <c r="K91" s="54">
        <f>'Low Income Forecast'!K37</f>
        <v>0</v>
      </c>
      <c r="L91" s="54">
        <f>'Low Income Forecast'!L37</f>
        <v>0</v>
      </c>
      <c r="M91" s="54">
        <f>'Low Income Forecast'!M37</f>
        <v>0</v>
      </c>
      <c r="N91" s="48">
        <f t="shared" si="20"/>
        <v>0</v>
      </c>
    </row>
    <row r="92" spans="1:14" x14ac:dyDescent="0.25">
      <c r="A92" s="42" t="s">
        <v>35</v>
      </c>
      <c r="B92" s="54">
        <f>'Low Income Forecast'!B38</f>
        <v>0</v>
      </c>
      <c r="C92" s="54">
        <f>'Low Income Forecast'!C38</f>
        <v>0</v>
      </c>
      <c r="D92" s="54">
        <f>'Low Income Forecast'!D38</f>
        <v>0</v>
      </c>
      <c r="E92" s="54">
        <f>'Low Income Forecast'!E38</f>
        <v>0</v>
      </c>
      <c r="F92" s="54">
        <f>'Low Income Forecast'!F38</f>
        <v>0</v>
      </c>
      <c r="G92" s="54">
        <f>'Low Income Forecast'!G38</f>
        <v>0</v>
      </c>
      <c r="H92" s="54">
        <f>'Low Income Forecast'!H38</f>
        <v>0</v>
      </c>
      <c r="I92" s="54">
        <f>'Low Income Forecast'!I38</f>
        <v>0</v>
      </c>
      <c r="J92" s="54">
        <f>'Low Income Forecast'!J38</f>
        <v>0</v>
      </c>
      <c r="K92" s="54">
        <f>'Low Income Forecast'!K38</f>
        <v>0</v>
      </c>
      <c r="L92" s="54">
        <f>'Low Income Forecast'!L38</f>
        <v>0</v>
      </c>
      <c r="M92" s="54">
        <f>'Low Income Forecast'!M38</f>
        <v>0</v>
      </c>
      <c r="N92" s="48">
        <f t="shared" si="20"/>
        <v>0</v>
      </c>
    </row>
    <row r="93" spans="1:14" x14ac:dyDescent="0.25">
      <c r="A93" s="49" t="s">
        <v>36</v>
      </c>
      <c r="B93" s="54">
        <f>'Low Income Forecast'!B39</f>
        <v>0</v>
      </c>
      <c r="C93" s="54">
        <f>'Low Income Forecast'!C39</f>
        <v>0</v>
      </c>
      <c r="D93" s="54">
        <f>'Low Income Forecast'!D39</f>
        <v>0</v>
      </c>
      <c r="E93" s="54">
        <f>'Low Income Forecast'!E39</f>
        <v>0</v>
      </c>
      <c r="F93" s="54">
        <f>'Low Income Forecast'!F39</f>
        <v>0</v>
      </c>
      <c r="G93" s="54">
        <f>'Low Income Forecast'!G39</f>
        <v>0</v>
      </c>
      <c r="H93" s="54">
        <f>'Low Income Forecast'!H39</f>
        <v>0</v>
      </c>
      <c r="I93" s="54">
        <f>'Low Income Forecast'!I39</f>
        <v>0</v>
      </c>
      <c r="J93" s="54">
        <f>'Low Income Forecast'!J39</f>
        <v>0</v>
      </c>
      <c r="K93" s="54">
        <f>'Low Income Forecast'!K39</f>
        <v>0</v>
      </c>
      <c r="L93" s="54">
        <f>'Low Income Forecast'!L39</f>
        <v>0</v>
      </c>
      <c r="M93" s="54">
        <f>'Low Income Forecast'!M39</f>
        <v>0</v>
      </c>
      <c r="N93" s="48">
        <f t="shared" si="20"/>
        <v>0</v>
      </c>
    </row>
    <row r="94" spans="1:14" x14ac:dyDescent="0.25">
      <c r="A94" s="50" t="s">
        <v>2</v>
      </c>
      <c r="B94" s="51">
        <f>SUM(B80:B93)</f>
        <v>38670.609133385129</v>
      </c>
      <c r="C94" s="51">
        <f t="shared" ref="C94:N94" si="21">SUM(C80:C93)</f>
        <v>70011.283992434226</v>
      </c>
      <c r="D94" s="51">
        <f t="shared" si="21"/>
        <v>70594.711359037858</v>
      </c>
      <c r="E94" s="51">
        <f t="shared" si="21"/>
        <v>71183.000620363164</v>
      </c>
      <c r="F94" s="51">
        <f t="shared" si="21"/>
        <v>71776.192292199514</v>
      </c>
      <c r="G94" s="51">
        <f t="shared" si="21"/>
        <v>72374.327227967849</v>
      </c>
      <c r="H94" s="51">
        <f t="shared" si="21"/>
        <v>72977.44662153424</v>
      </c>
      <c r="I94" s="51">
        <f t="shared" si="21"/>
        <v>73585.592010047025</v>
      </c>
      <c r="J94" s="51">
        <f t="shared" si="21"/>
        <v>74198.8052767974</v>
      </c>
      <c r="K94" s="51">
        <f t="shared" si="21"/>
        <v>74817.128654104046</v>
      </c>
      <c r="L94" s="51">
        <f t="shared" si="21"/>
        <v>75440.604726221587</v>
      </c>
      <c r="M94" s="51">
        <f t="shared" si="21"/>
        <v>76069.276432273415</v>
      </c>
      <c r="N94" s="51">
        <f t="shared" si="21"/>
        <v>841698.9783463655</v>
      </c>
    </row>
    <row r="96" spans="1:14" ht="17.25" x14ac:dyDescent="0.25">
      <c r="A96" s="53" t="s">
        <v>85</v>
      </c>
    </row>
    <row r="97" spans="1:14" x14ac:dyDescent="0.25">
      <c r="A97" s="43" t="s">
        <v>52</v>
      </c>
      <c r="B97" s="45">
        <f>B43</f>
        <v>45231</v>
      </c>
      <c r="C97" s="45">
        <f t="shared" ref="C97:M97" si="22">C43</f>
        <v>45261</v>
      </c>
      <c r="D97" s="45">
        <f t="shared" si="22"/>
        <v>45292</v>
      </c>
      <c r="E97" s="45">
        <f t="shared" si="22"/>
        <v>45323</v>
      </c>
      <c r="F97" s="45">
        <f t="shared" si="22"/>
        <v>45352</v>
      </c>
      <c r="G97" s="45">
        <f t="shared" si="22"/>
        <v>45383</v>
      </c>
      <c r="H97" s="45">
        <f t="shared" si="22"/>
        <v>45413</v>
      </c>
      <c r="I97" s="45">
        <f t="shared" si="22"/>
        <v>45444</v>
      </c>
      <c r="J97" s="45">
        <f t="shared" si="22"/>
        <v>45474</v>
      </c>
      <c r="K97" s="45">
        <f t="shared" si="22"/>
        <v>45505</v>
      </c>
      <c r="L97" s="45">
        <f t="shared" si="22"/>
        <v>45536</v>
      </c>
      <c r="M97" s="45">
        <f t="shared" si="22"/>
        <v>45566</v>
      </c>
      <c r="N97" s="46" t="s">
        <v>2</v>
      </c>
    </row>
    <row r="98" spans="1:14" x14ac:dyDescent="0.25">
      <c r="A98" s="42">
        <v>16</v>
      </c>
      <c r="B98" s="47">
        <v>0</v>
      </c>
      <c r="C98" s="47">
        <v>0</v>
      </c>
      <c r="D98" s="47">
        <v>0</v>
      </c>
      <c r="E98" s="47">
        <v>0</v>
      </c>
      <c r="F98" s="47">
        <v>0</v>
      </c>
      <c r="G98" s="47">
        <v>0</v>
      </c>
      <c r="H98" s="47">
        <v>0</v>
      </c>
      <c r="I98" s="47">
        <v>0</v>
      </c>
      <c r="J98" s="47">
        <v>0</v>
      </c>
      <c r="K98" s="47">
        <v>0</v>
      </c>
      <c r="L98" s="47">
        <v>0</v>
      </c>
      <c r="M98" s="47">
        <v>0</v>
      </c>
      <c r="N98" s="48">
        <f>SUM(B98:M98)</f>
        <v>0</v>
      </c>
    </row>
    <row r="99" spans="1:14" x14ac:dyDescent="0.25">
      <c r="A99" s="42">
        <v>23</v>
      </c>
      <c r="B99" s="47">
        <v>15293</v>
      </c>
      <c r="C99" s="47">
        <v>15293</v>
      </c>
      <c r="D99" s="47">
        <v>15293</v>
      </c>
      <c r="E99" s="47">
        <v>15293</v>
      </c>
      <c r="F99" s="47">
        <v>15293</v>
      </c>
      <c r="G99" s="47">
        <v>15293</v>
      </c>
      <c r="H99" s="47">
        <v>15293</v>
      </c>
      <c r="I99" s="47">
        <v>15293</v>
      </c>
      <c r="J99" s="47">
        <v>15293</v>
      </c>
      <c r="K99" s="47">
        <v>15293</v>
      </c>
      <c r="L99" s="47">
        <v>15293</v>
      </c>
      <c r="M99" s="47">
        <v>15293</v>
      </c>
      <c r="N99" s="48">
        <f t="shared" ref="N99:N111" si="23">SUM(B99:M99)</f>
        <v>183516</v>
      </c>
    </row>
    <row r="100" spans="1:14" x14ac:dyDescent="0.25">
      <c r="A100" s="42">
        <v>53</v>
      </c>
      <c r="B100" s="47">
        <v>0</v>
      </c>
      <c r="C100" s="47">
        <v>0</v>
      </c>
      <c r="D100" s="47">
        <v>0</v>
      </c>
      <c r="E100" s="47">
        <v>0</v>
      </c>
      <c r="F100" s="47">
        <v>0</v>
      </c>
      <c r="G100" s="47">
        <v>0</v>
      </c>
      <c r="H100" s="47">
        <v>0</v>
      </c>
      <c r="I100" s="47">
        <v>0</v>
      </c>
      <c r="J100" s="47">
        <v>0</v>
      </c>
      <c r="K100" s="47">
        <v>0</v>
      </c>
      <c r="L100" s="47">
        <v>0</v>
      </c>
      <c r="M100" s="47">
        <v>0</v>
      </c>
      <c r="N100" s="48">
        <f t="shared" si="23"/>
        <v>0</v>
      </c>
    </row>
    <row r="101" spans="1:14" x14ac:dyDescent="0.25">
      <c r="A101" s="42">
        <v>31</v>
      </c>
      <c r="B101" s="47">
        <v>1107</v>
      </c>
      <c r="C101" s="47">
        <v>1107</v>
      </c>
      <c r="D101" s="47">
        <v>1107</v>
      </c>
      <c r="E101" s="47">
        <v>1107</v>
      </c>
      <c r="F101" s="47">
        <v>1107</v>
      </c>
      <c r="G101" s="47">
        <v>1107</v>
      </c>
      <c r="H101" s="47">
        <v>1107</v>
      </c>
      <c r="I101" s="47">
        <v>1107</v>
      </c>
      <c r="J101" s="47">
        <v>1107</v>
      </c>
      <c r="K101" s="47">
        <v>1107</v>
      </c>
      <c r="L101" s="47">
        <v>1107</v>
      </c>
      <c r="M101" s="47">
        <v>1107</v>
      </c>
      <c r="N101" s="48">
        <f t="shared" si="23"/>
        <v>13284</v>
      </c>
    </row>
    <row r="102" spans="1:14" x14ac:dyDescent="0.25">
      <c r="A102" s="42">
        <v>41</v>
      </c>
      <c r="B102" s="47">
        <v>5</v>
      </c>
      <c r="C102" s="47">
        <v>5</v>
      </c>
      <c r="D102" s="47">
        <v>5</v>
      </c>
      <c r="E102" s="47">
        <v>5</v>
      </c>
      <c r="F102" s="47">
        <v>5</v>
      </c>
      <c r="G102" s="47">
        <v>5</v>
      </c>
      <c r="H102" s="47">
        <v>5</v>
      </c>
      <c r="I102" s="47">
        <v>5</v>
      </c>
      <c r="J102" s="47">
        <v>5</v>
      </c>
      <c r="K102" s="47">
        <v>5</v>
      </c>
      <c r="L102" s="47">
        <v>5</v>
      </c>
      <c r="M102" s="47">
        <v>5</v>
      </c>
      <c r="N102" s="48">
        <f t="shared" si="23"/>
        <v>60</v>
      </c>
    </row>
    <row r="103" spans="1:14" x14ac:dyDescent="0.25">
      <c r="A103" s="42">
        <v>85</v>
      </c>
      <c r="B103" s="47">
        <v>0</v>
      </c>
      <c r="C103" s="47">
        <v>0</v>
      </c>
      <c r="D103" s="47">
        <v>0</v>
      </c>
      <c r="E103" s="47">
        <v>0</v>
      </c>
      <c r="F103" s="47">
        <v>0</v>
      </c>
      <c r="G103" s="47">
        <v>0</v>
      </c>
      <c r="H103" s="47">
        <v>0</v>
      </c>
      <c r="I103" s="47">
        <v>0</v>
      </c>
      <c r="J103" s="47">
        <v>0</v>
      </c>
      <c r="K103" s="47">
        <v>0</v>
      </c>
      <c r="L103" s="47">
        <v>0</v>
      </c>
      <c r="M103" s="47">
        <v>0</v>
      </c>
      <c r="N103" s="48">
        <f t="shared" si="23"/>
        <v>0</v>
      </c>
    </row>
    <row r="104" spans="1:14" x14ac:dyDescent="0.25">
      <c r="A104" s="42">
        <v>86</v>
      </c>
      <c r="B104" s="47">
        <v>0</v>
      </c>
      <c r="C104" s="47">
        <v>0</v>
      </c>
      <c r="D104" s="47">
        <v>0</v>
      </c>
      <c r="E104" s="47">
        <v>0</v>
      </c>
      <c r="F104" s="47">
        <v>0</v>
      </c>
      <c r="G104" s="47">
        <v>0</v>
      </c>
      <c r="H104" s="47">
        <v>0</v>
      </c>
      <c r="I104" s="47">
        <v>0</v>
      </c>
      <c r="J104" s="47">
        <v>0</v>
      </c>
      <c r="K104" s="47">
        <v>0</v>
      </c>
      <c r="L104" s="47">
        <v>0</v>
      </c>
      <c r="M104" s="47">
        <v>0</v>
      </c>
      <c r="N104" s="48">
        <f t="shared" si="23"/>
        <v>0</v>
      </c>
    </row>
    <row r="105" spans="1:14" x14ac:dyDescent="0.25">
      <c r="A105" s="42">
        <v>87</v>
      </c>
      <c r="B105" s="47">
        <v>0</v>
      </c>
      <c r="C105" s="47">
        <v>0</v>
      </c>
      <c r="D105" s="47">
        <v>0</v>
      </c>
      <c r="E105" s="47">
        <v>0</v>
      </c>
      <c r="F105" s="47">
        <v>0</v>
      </c>
      <c r="G105" s="47">
        <v>0</v>
      </c>
      <c r="H105" s="47">
        <v>0</v>
      </c>
      <c r="I105" s="47">
        <v>0</v>
      </c>
      <c r="J105" s="47">
        <v>0</v>
      </c>
      <c r="K105" s="47">
        <v>0</v>
      </c>
      <c r="L105" s="47">
        <v>0</v>
      </c>
      <c r="M105" s="47">
        <v>0</v>
      </c>
      <c r="N105" s="48">
        <f t="shared" si="23"/>
        <v>0</v>
      </c>
    </row>
    <row r="106" spans="1:14" x14ac:dyDescent="0.25">
      <c r="A106" s="42" t="s">
        <v>27</v>
      </c>
      <c r="B106" s="47">
        <v>0</v>
      </c>
      <c r="C106" s="47">
        <v>0</v>
      </c>
      <c r="D106" s="47">
        <v>0</v>
      </c>
      <c r="E106" s="47">
        <v>0</v>
      </c>
      <c r="F106" s="47">
        <v>0</v>
      </c>
      <c r="G106" s="47">
        <v>0</v>
      </c>
      <c r="H106" s="47">
        <v>0</v>
      </c>
      <c r="I106" s="47">
        <v>0</v>
      </c>
      <c r="J106" s="47">
        <v>0</v>
      </c>
      <c r="K106" s="47">
        <v>0</v>
      </c>
      <c r="L106" s="47">
        <v>0</v>
      </c>
      <c r="M106" s="47">
        <v>0</v>
      </c>
      <c r="N106" s="48">
        <f t="shared" si="23"/>
        <v>0</v>
      </c>
    </row>
    <row r="107" spans="1:14" x14ac:dyDescent="0.25">
      <c r="A107" s="42" t="s">
        <v>29</v>
      </c>
      <c r="B107" s="47">
        <v>0</v>
      </c>
      <c r="C107" s="47">
        <v>0</v>
      </c>
      <c r="D107" s="47">
        <v>0</v>
      </c>
      <c r="E107" s="47">
        <v>0</v>
      </c>
      <c r="F107" s="47">
        <v>0</v>
      </c>
      <c r="G107" s="47">
        <v>0</v>
      </c>
      <c r="H107" s="47">
        <v>0</v>
      </c>
      <c r="I107" s="47">
        <v>0</v>
      </c>
      <c r="J107" s="47">
        <v>0</v>
      </c>
      <c r="K107" s="47">
        <v>0</v>
      </c>
      <c r="L107" s="47">
        <v>0</v>
      </c>
      <c r="M107" s="47">
        <v>0</v>
      </c>
      <c r="N107" s="48">
        <f t="shared" si="23"/>
        <v>0</v>
      </c>
    </row>
    <row r="108" spans="1:14" x14ac:dyDescent="0.25">
      <c r="A108" s="42" t="s">
        <v>31</v>
      </c>
      <c r="B108" s="47">
        <v>0</v>
      </c>
      <c r="C108" s="47">
        <v>0</v>
      </c>
      <c r="D108" s="47">
        <v>0</v>
      </c>
      <c r="E108" s="47">
        <v>0</v>
      </c>
      <c r="F108" s="47">
        <v>0</v>
      </c>
      <c r="G108" s="47">
        <v>0</v>
      </c>
      <c r="H108" s="47">
        <v>0</v>
      </c>
      <c r="I108" s="47">
        <v>0</v>
      </c>
      <c r="J108" s="47">
        <v>0</v>
      </c>
      <c r="K108" s="47">
        <v>0</v>
      </c>
      <c r="L108" s="47">
        <v>0</v>
      </c>
      <c r="M108" s="47">
        <v>0</v>
      </c>
      <c r="N108" s="48">
        <f t="shared" si="23"/>
        <v>0</v>
      </c>
    </row>
    <row r="109" spans="1:14" x14ac:dyDescent="0.25">
      <c r="A109" s="42" t="s">
        <v>33</v>
      </c>
      <c r="B109" s="47">
        <v>0</v>
      </c>
      <c r="C109" s="47">
        <v>0</v>
      </c>
      <c r="D109" s="47">
        <v>0</v>
      </c>
      <c r="E109" s="47">
        <v>0</v>
      </c>
      <c r="F109" s="47">
        <v>0</v>
      </c>
      <c r="G109" s="47">
        <v>0</v>
      </c>
      <c r="H109" s="47">
        <v>0</v>
      </c>
      <c r="I109" s="47">
        <v>0</v>
      </c>
      <c r="J109" s="47">
        <v>0</v>
      </c>
      <c r="K109" s="47">
        <v>0</v>
      </c>
      <c r="L109" s="47">
        <v>0</v>
      </c>
      <c r="M109" s="47">
        <v>0</v>
      </c>
      <c r="N109" s="48">
        <f t="shared" si="23"/>
        <v>0</v>
      </c>
    </row>
    <row r="110" spans="1:14" x14ac:dyDescent="0.25">
      <c r="A110" s="42" t="s">
        <v>35</v>
      </c>
      <c r="B110" s="47">
        <v>1</v>
      </c>
      <c r="C110" s="47">
        <v>1</v>
      </c>
      <c r="D110" s="47">
        <v>1</v>
      </c>
      <c r="E110" s="47">
        <v>1</v>
      </c>
      <c r="F110" s="47">
        <v>1</v>
      </c>
      <c r="G110" s="47">
        <v>1</v>
      </c>
      <c r="H110" s="47">
        <v>1</v>
      </c>
      <c r="I110" s="47">
        <v>1</v>
      </c>
      <c r="J110" s="47">
        <v>1</v>
      </c>
      <c r="K110" s="47">
        <v>1</v>
      </c>
      <c r="L110" s="47">
        <v>1</v>
      </c>
      <c r="M110" s="47">
        <v>1</v>
      </c>
      <c r="N110" s="48">
        <f t="shared" si="23"/>
        <v>12</v>
      </c>
    </row>
    <row r="111" spans="1:14" x14ac:dyDescent="0.25">
      <c r="A111" s="49" t="s">
        <v>36</v>
      </c>
      <c r="B111" s="47">
        <v>0</v>
      </c>
      <c r="C111" s="47">
        <v>0</v>
      </c>
      <c r="D111" s="47">
        <v>0</v>
      </c>
      <c r="E111" s="47">
        <v>0</v>
      </c>
      <c r="F111" s="47">
        <v>0</v>
      </c>
      <c r="G111" s="47">
        <v>0</v>
      </c>
      <c r="H111" s="47">
        <v>0</v>
      </c>
      <c r="I111" s="47">
        <v>0</v>
      </c>
      <c r="J111" s="47">
        <v>0</v>
      </c>
      <c r="K111" s="47">
        <v>0</v>
      </c>
      <c r="L111" s="47">
        <v>0</v>
      </c>
      <c r="M111" s="47">
        <v>0</v>
      </c>
      <c r="N111" s="48">
        <f t="shared" si="23"/>
        <v>0</v>
      </c>
    </row>
    <row r="112" spans="1:14" x14ac:dyDescent="0.25">
      <c r="A112" s="50" t="s">
        <v>2</v>
      </c>
      <c r="B112" s="51">
        <f>SUM(B98:B111)</f>
        <v>16406</v>
      </c>
      <c r="C112" s="51">
        <f t="shared" ref="C112:N112" si="24">SUM(C98:C111)</f>
        <v>16406</v>
      </c>
      <c r="D112" s="51">
        <f t="shared" si="24"/>
        <v>16406</v>
      </c>
      <c r="E112" s="51">
        <f t="shared" si="24"/>
        <v>16406</v>
      </c>
      <c r="F112" s="51">
        <f t="shared" si="24"/>
        <v>16406</v>
      </c>
      <c r="G112" s="51">
        <f t="shared" si="24"/>
        <v>16406</v>
      </c>
      <c r="H112" s="51">
        <f t="shared" si="24"/>
        <v>16406</v>
      </c>
      <c r="I112" s="51">
        <f t="shared" si="24"/>
        <v>16406</v>
      </c>
      <c r="J112" s="51">
        <f t="shared" si="24"/>
        <v>16406</v>
      </c>
      <c r="K112" s="51">
        <f t="shared" si="24"/>
        <v>16406</v>
      </c>
      <c r="L112" s="51">
        <f t="shared" si="24"/>
        <v>16406</v>
      </c>
      <c r="M112" s="51">
        <f t="shared" si="24"/>
        <v>16406</v>
      </c>
      <c r="N112" s="51">
        <f t="shared" si="24"/>
        <v>196872</v>
      </c>
    </row>
    <row r="114" spans="1:14" x14ac:dyDescent="0.25">
      <c r="A114" s="53" t="s">
        <v>58</v>
      </c>
    </row>
    <row r="115" spans="1:14" x14ac:dyDescent="0.25">
      <c r="A115" s="43" t="s">
        <v>52</v>
      </c>
      <c r="B115" s="45">
        <f>B7</f>
        <v>45231</v>
      </c>
      <c r="C115" s="45">
        <f>C7</f>
        <v>45261</v>
      </c>
      <c r="D115" s="45">
        <f>D7</f>
        <v>45292</v>
      </c>
      <c r="E115" s="45">
        <f>E7</f>
        <v>45323</v>
      </c>
      <c r="F115" s="45">
        <f>F7</f>
        <v>45352</v>
      </c>
      <c r="G115" s="45">
        <f t="shared" ref="G115:M115" si="25">G7</f>
        <v>45383</v>
      </c>
      <c r="H115" s="45">
        <f t="shared" si="25"/>
        <v>45413</v>
      </c>
      <c r="I115" s="45">
        <f t="shared" si="25"/>
        <v>45444</v>
      </c>
      <c r="J115" s="45">
        <f t="shared" si="25"/>
        <v>45474</v>
      </c>
      <c r="K115" s="45">
        <f t="shared" si="25"/>
        <v>45505</v>
      </c>
      <c r="L115" s="45">
        <f t="shared" si="25"/>
        <v>45536</v>
      </c>
      <c r="M115" s="45">
        <f t="shared" si="25"/>
        <v>45566</v>
      </c>
      <c r="N115" s="46" t="s">
        <v>2</v>
      </c>
    </row>
    <row r="116" spans="1:14" x14ac:dyDescent="0.25">
      <c r="A116" s="42">
        <v>16</v>
      </c>
      <c r="B116" s="48">
        <f>B8-B26-B44-B62-B80-B98</f>
        <v>4</v>
      </c>
      <c r="C116" s="48">
        <f t="shared" ref="C116:F116" si="26">C8-C26-C44-C62-C80-C98</f>
        <v>4</v>
      </c>
      <c r="D116" s="48">
        <f t="shared" si="26"/>
        <v>4</v>
      </c>
      <c r="E116" s="48">
        <f t="shared" si="26"/>
        <v>4</v>
      </c>
      <c r="F116" s="48">
        <f t="shared" si="26"/>
        <v>4</v>
      </c>
      <c r="G116" s="48">
        <f t="shared" ref="G116:M116" si="27">G8-G26-G44-G62-G80-G98</f>
        <v>4</v>
      </c>
      <c r="H116" s="48">
        <f t="shared" si="27"/>
        <v>4</v>
      </c>
      <c r="I116" s="48">
        <f t="shared" si="27"/>
        <v>4</v>
      </c>
      <c r="J116" s="48">
        <f t="shared" si="27"/>
        <v>4</v>
      </c>
      <c r="K116" s="48">
        <f t="shared" si="27"/>
        <v>4</v>
      </c>
      <c r="L116" s="48">
        <f t="shared" si="27"/>
        <v>4</v>
      </c>
      <c r="M116" s="48">
        <f t="shared" si="27"/>
        <v>4</v>
      </c>
      <c r="N116" s="48">
        <f>SUM(B116:M116)</f>
        <v>48</v>
      </c>
    </row>
    <row r="117" spans="1:14" x14ac:dyDescent="0.25">
      <c r="A117" s="42">
        <v>23</v>
      </c>
      <c r="B117" s="48">
        <f t="shared" ref="B117:F129" si="28">B9-B27-B45-B63-B81-B99</f>
        <v>764771.39086661488</v>
      </c>
      <c r="C117" s="48">
        <f t="shared" si="28"/>
        <v>733483.71600756573</v>
      </c>
      <c r="D117" s="48">
        <f t="shared" si="28"/>
        <v>732900.2886409621</v>
      </c>
      <c r="E117" s="48">
        <f t="shared" si="28"/>
        <v>732311.99937963684</v>
      </c>
      <c r="F117" s="48">
        <f t="shared" si="28"/>
        <v>731718.80770780053</v>
      </c>
      <c r="G117" s="48">
        <f t="shared" ref="G117:M117" si="29">G9-G27-G45-G63-G81-G99</f>
        <v>731120.67277203221</v>
      </c>
      <c r="H117" s="48">
        <f t="shared" si="29"/>
        <v>730517.55337846582</v>
      </c>
      <c r="I117" s="48">
        <f t="shared" si="29"/>
        <v>729909.40798995295</v>
      </c>
      <c r="J117" s="48">
        <f t="shared" si="29"/>
        <v>729296.19472320261</v>
      </c>
      <c r="K117" s="48">
        <f t="shared" si="29"/>
        <v>728677.87134589592</v>
      </c>
      <c r="L117" s="48">
        <f t="shared" si="29"/>
        <v>728054.39527377835</v>
      </c>
      <c r="M117" s="48">
        <f t="shared" si="29"/>
        <v>727425.72356772656</v>
      </c>
      <c r="N117" s="48">
        <f t="shared" ref="N117:N129" si="30">SUM(B117:M117)</f>
        <v>8800188.0216536336</v>
      </c>
    </row>
    <row r="118" spans="1:14" x14ac:dyDescent="0.25">
      <c r="A118" s="42">
        <v>53</v>
      </c>
      <c r="B118" s="48">
        <f t="shared" si="28"/>
        <v>0</v>
      </c>
      <c r="C118" s="48">
        <f t="shared" si="28"/>
        <v>0</v>
      </c>
      <c r="D118" s="48">
        <f t="shared" si="28"/>
        <v>0</v>
      </c>
      <c r="E118" s="48">
        <f t="shared" si="28"/>
        <v>0</v>
      </c>
      <c r="F118" s="48">
        <f t="shared" si="28"/>
        <v>0</v>
      </c>
      <c r="G118" s="48">
        <f t="shared" ref="G118:M118" si="31">G10-G28-G46-G64-G82-G100</f>
        <v>0</v>
      </c>
      <c r="H118" s="48">
        <f t="shared" si="31"/>
        <v>0</v>
      </c>
      <c r="I118" s="48">
        <f t="shared" si="31"/>
        <v>0</v>
      </c>
      <c r="J118" s="48">
        <f t="shared" si="31"/>
        <v>0</v>
      </c>
      <c r="K118" s="48">
        <f t="shared" si="31"/>
        <v>0</v>
      </c>
      <c r="L118" s="48">
        <f t="shared" si="31"/>
        <v>0</v>
      </c>
      <c r="M118" s="48">
        <f t="shared" si="31"/>
        <v>0</v>
      </c>
      <c r="N118" s="48">
        <f t="shared" si="30"/>
        <v>0</v>
      </c>
    </row>
    <row r="119" spans="1:14" x14ac:dyDescent="0.25">
      <c r="A119" s="42">
        <v>31</v>
      </c>
      <c r="B119" s="48">
        <f t="shared" si="28"/>
        <v>56571</v>
      </c>
      <c r="C119" s="48">
        <f t="shared" si="28"/>
        <v>56600</v>
      </c>
      <c r="D119" s="48">
        <f t="shared" si="28"/>
        <v>56610</v>
      </c>
      <c r="E119" s="48">
        <f t="shared" si="28"/>
        <v>56635</v>
      </c>
      <c r="F119" s="48">
        <f t="shared" si="28"/>
        <v>56654</v>
      </c>
      <c r="G119" s="48">
        <f t="shared" ref="G119:M119" si="32">G11-G29-G47-G65-G83-G101</f>
        <v>56670</v>
      </c>
      <c r="H119" s="48">
        <f t="shared" si="32"/>
        <v>56691</v>
      </c>
      <c r="I119" s="48">
        <f t="shared" si="32"/>
        <v>56707</v>
      </c>
      <c r="J119" s="48">
        <f t="shared" si="32"/>
        <v>56729</v>
      </c>
      <c r="K119" s="48">
        <f t="shared" si="32"/>
        <v>56751</v>
      </c>
      <c r="L119" s="48">
        <f t="shared" si="32"/>
        <v>56766</v>
      </c>
      <c r="M119" s="48">
        <f t="shared" si="32"/>
        <v>56785</v>
      </c>
      <c r="N119" s="48">
        <f t="shared" si="30"/>
        <v>680169</v>
      </c>
    </row>
    <row r="120" spans="1:14" x14ac:dyDescent="0.25">
      <c r="A120" s="42">
        <v>41</v>
      </c>
      <c r="B120" s="48">
        <f t="shared" si="28"/>
        <v>1234</v>
      </c>
      <c r="C120" s="48">
        <f t="shared" si="28"/>
        <v>1229</v>
      </c>
      <c r="D120" s="48">
        <f t="shared" si="28"/>
        <v>1242</v>
      </c>
      <c r="E120" s="48">
        <f t="shared" si="28"/>
        <v>1238</v>
      </c>
      <c r="F120" s="48">
        <f t="shared" si="28"/>
        <v>1239</v>
      </c>
      <c r="G120" s="48">
        <f t="shared" ref="G120:M120" si="33">G12-G30-G48-G66-G84-G102</f>
        <v>1238</v>
      </c>
      <c r="H120" s="48">
        <f t="shared" si="33"/>
        <v>1235</v>
      </c>
      <c r="I120" s="48">
        <f t="shared" si="33"/>
        <v>1232</v>
      </c>
      <c r="J120" s="48">
        <f t="shared" si="33"/>
        <v>1229</v>
      </c>
      <c r="K120" s="48">
        <f t="shared" si="33"/>
        <v>1227</v>
      </c>
      <c r="L120" s="48">
        <f t="shared" si="33"/>
        <v>1230</v>
      </c>
      <c r="M120" s="48">
        <f t="shared" si="33"/>
        <v>1232</v>
      </c>
      <c r="N120" s="48">
        <f t="shared" si="30"/>
        <v>14805</v>
      </c>
    </row>
    <row r="121" spans="1:14" x14ac:dyDescent="0.25">
      <c r="A121" s="42">
        <v>85</v>
      </c>
      <c r="B121" s="48">
        <f t="shared" si="28"/>
        <v>34</v>
      </c>
      <c r="C121" s="48">
        <f t="shared" si="28"/>
        <v>34</v>
      </c>
      <c r="D121" s="48">
        <f t="shared" si="28"/>
        <v>34</v>
      </c>
      <c r="E121" s="48">
        <f t="shared" si="28"/>
        <v>34</v>
      </c>
      <c r="F121" s="48">
        <f t="shared" si="28"/>
        <v>34</v>
      </c>
      <c r="G121" s="48">
        <f t="shared" ref="G121:M121" si="34">G13-G31-G49-G67-G85-G103</f>
        <v>34</v>
      </c>
      <c r="H121" s="48">
        <f t="shared" si="34"/>
        <v>34</v>
      </c>
      <c r="I121" s="48">
        <f t="shared" si="34"/>
        <v>34</v>
      </c>
      <c r="J121" s="48">
        <f t="shared" si="34"/>
        <v>34</v>
      </c>
      <c r="K121" s="48">
        <f t="shared" si="34"/>
        <v>34</v>
      </c>
      <c r="L121" s="48">
        <f t="shared" si="34"/>
        <v>34</v>
      </c>
      <c r="M121" s="48">
        <f t="shared" si="34"/>
        <v>34</v>
      </c>
      <c r="N121" s="48">
        <f t="shared" si="30"/>
        <v>408</v>
      </c>
    </row>
    <row r="122" spans="1:14" x14ac:dyDescent="0.25">
      <c r="A122" s="42">
        <v>86</v>
      </c>
      <c r="B122" s="48">
        <f t="shared" si="28"/>
        <v>102</v>
      </c>
      <c r="C122" s="48">
        <f t="shared" si="28"/>
        <v>102</v>
      </c>
      <c r="D122" s="48">
        <f t="shared" si="28"/>
        <v>102</v>
      </c>
      <c r="E122" s="48">
        <f t="shared" si="28"/>
        <v>101</v>
      </c>
      <c r="F122" s="48">
        <f t="shared" si="28"/>
        <v>101</v>
      </c>
      <c r="G122" s="48">
        <f t="shared" ref="G122:M122" si="35">G14-G32-G50-G68-G86-G104</f>
        <v>101</v>
      </c>
      <c r="H122" s="48">
        <f t="shared" si="35"/>
        <v>100</v>
      </c>
      <c r="I122" s="48">
        <f t="shared" si="35"/>
        <v>100</v>
      </c>
      <c r="J122" s="48">
        <f t="shared" si="35"/>
        <v>100</v>
      </c>
      <c r="K122" s="48">
        <f t="shared" si="35"/>
        <v>99</v>
      </c>
      <c r="L122" s="48">
        <f t="shared" si="35"/>
        <v>99</v>
      </c>
      <c r="M122" s="48">
        <f t="shared" si="35"/>
        <v>99</v>
      </c>
      <c r="N122" s="48">
        <f t="shared" si="30"/>
        <v>1206</v>
      </c>
    </row>
    <row r="123" spans="1:14" x14ac:dyDescent="0.25">
      <c r="A123" s="42">
        <v>87</v>
      </c>
      <c r="B123" s="48">
        <f t="shared" si="28"/>
        <v>1</v>
      </c>
      <c r="C123" s="48">
        <f t="shared" si="28"/>
        <v>1</v>
      </c>
      <c r="D123" s="48">
        <f t="shared" si="28"/>
        <v>1</v>
      </c>
      <c r="E123" s="48">
        <f t="shared" si="28"/>
        <v>1</v>
      </c>
      <c r="F123" s="48">
        <f t="shared" si="28"/>
        <v>1</v>
      </c>
      <c r="G123" s="48">
        <f t="shared" ref="G123:M123" si="36">G15-G33-G51-G69-G87-G105</f>
        <v>1</v>
      </c>
      <c r="H123" s="48">
        <f t="shared" si="36"/>
        <v>1</v>
      </c>
      <c r="I123" s="48">
        <f t="shared" si="36"/>
        <v>1</v>
      </c>
      <c r="J123" s="48">
        <f t="shared" si="36"/>
        <v>1</v>
      </c>
      <c r="K123" s="48">
        <f t="shared" si="36"/>
        <v>1</v>
      </c>
      <c r="L123" s="48">
        <f t="shared" si="36"/>
        <v>1</v>
      </c>
      <c r="M123" s="48">
        <f t="shared" si="36"/>
        <v>1</v>
      </c>
      <c r="N123" s="48">
        <f t="shared" si="30"/>
        <v>12</v>
      </c>
    </row>
    <row r="124" spans="1:14" x14ac:dyDescent="0.25">
      <c r="A124" s="42" t="s">
        <v>27</v>
      </c>
      <c r="B124" s="48">
        <f t="shared" si="28"/>
        <v>1</v>
      </c>
      <c r="C124" s="48">
        <f t="shared" si="28"/>
        <v>1</v>
      </c>
      <c r="D124" s="48">
        <f t="shared" si="28"/>
        <v>1</v>
      </c>
      <c r="E124" s="48">
        <f t="shared" si="28"/>
        <v>1</v>
      </c>
      <c r="F124" s="48">
        <f t="shared" si="28"/>
        <v>1</v>
      </c>
      <c r="G124" s="48">
        <f t="shared" ref="G124:M124" si="37">G16-G34-G52-G70-G88-G106</f>
        <v>1</v>
      </c>
      <c r="H124" s="48">
        <f t="shared" si="37"/>
        <v>1</v>
      </c>
      <c r="I124" s="48">
        <f t="shared" si="37"/>
        <v>1</v>
      </c>
      <c r="J124" s="48">
        <f t="shared" si="37"/>
        <v>1</v>
      </c>
      <c r="K124" s="48">
        <f t="shared" si="37"/>
        <v>1</v>
      </c>
      <c r="L124" s="48">
        <f t="shared" si="37"/>
        <v>1</v>
      </c>
      <c r="M124" s="48">
        <f t="shared" si="37"/>
        <v>1</v>
      </c>
      <c r="N124" s="48">
        <f t="shared" si="30"/>
        <v>12</v>
      </c>
    </row>
    <row r="125" spans="1:14" x14ac:dyDescent="0.25">
      <c r="A125" s="42" t="s">
        <v>29</v>
      </c>
      <c r="B125" s="48">
        <f t="shared" si="28"/>
        <v>94</v>
      </c>
      <c r="C125" s="48">
        <f t="shared" si="28"/>
        <v>94</v>
      </c>
      <c r="D125" s="48">
        <f t="shared" si="28"/>
        <v>94</v>
      </c>
      <c r="E125" s="48">
        <f t="shared" si="28"/>
        <v>94</v>
      </c>
      <c r="F125" s="48">
        <f t="shared" si="28"/>
        <v>94</v>
      </c>
      <c r="G125" s="48">
        <f t="shared" ref="G125:M125" si="38">G17-G35-G53-G71-G89-G107</f>
        <v>94</v>
      </c>
      <c r="H125" s="48">
        <f t="shared" si="38"/>
        <v>94</v>
      </c>
      <c r="I125" s="48">
        <f t="shared" si="38"/>
        <v>94</v>
      </c>
      <c r="J125" s="48">
        <f t="shared" si="38"/>
        <v>94</v>
      </c>
      <c r="K125" s="48">
        <f t="shared" si="38"/>
        <v>94</v>
      </c>
      <c r="L125" s="48">
        <f t="shared" si="38"/>
        <v>94</v>
      </c>
      <c r="M125" s="48">
        <f t="shared" si="38"/>
        <v>94</v>
      </c>
      <c r="N125" s="48">
        <f t="shared" si="30"/>
        <v>1128</v>
      </c>
    </row>
    <row r="126" spans="1:14" x14ac:dyDescent="0.25">
      <c r="A126" s="42" t="s">
        <v>31</v>
      </c>
      <c r="B126" s="48">
        <f t="shared" si="28"/>
        <v>82</v>
      </c>
      <c r="C126" s="48">
        <f t="shared" si="28"/>
        <v>82</v>
      </c>
      <c r="D126" s="48">
        <f t="shared" si="28"/>
        <v>82</v>
      </c>
      <c r="E126" s="48">
        <f t="shared" si="28"/>
        <v>82</v>
      </c>
      <c r="F126" s="48">
        <f t="shared" si="28"/>
        <v>82</v>
      </c>
      <c r="G126" s="48">
        <f t="shared" ref="G126:M126" si="39">G18-G36-G54-G72-G90-G108</f>
        <v>82</v>
      </c>
      <c r="H126" s="48">
        <f t="shared" si="39"/>
        <v>82</v>
      </c>
      <c r="I126" s="48">
        <f t="shared" si="39"/>
        <v>82</v>
      </c>
      <c r="J126" s="48">
        <f t="shared" si="39"/>
        <v>82</v>
      </c>
      <c r="K126" s="48">
        <f t="shared" si="39"/>
        <v>82</v>
      </c>
      <c r="L126" s="48">
        <f t="shared" si="39"/>
        <v>82</v>
      </c>
      <c r="M126" s="48">
        <f t="shared" si="39"/>
        <v>82</v>
      </c>
      <c r="N126" s="48">
        <f t="shared" si="30"/>
        <v>984</v>
      </c>
    </row>
    <row r="127" spans="1:14" x14ac:dyDescent="0.25">
      <c r="A127" s="42" t="s">
        <v>33</v>
      </c>
      <c r="B127" s="48">
        <f t="shared" si="28"/>
        <v>7</v>
      </c>
      <c r="C127" s="48">
        <f t="shared" si="28"/>
        <v>7</v>
      </c>
      <c r="D127" s="48">
        <f t="shared" si="28"/>
        <v>7</v>
      </c>
      <c r="E127" s="48">
        <f t="shared" si="28"/>
        <v>7</v>
      </c>
      <c r="F127" s="48">
        <f t="shared" si="28"/>
        <v>7</v>
      </c>
      <c r="G127" s="48">
        <f t="shared" ref="G127:M127" si="40">G19-G37-G55-G73-G91-G109</f>
        <v>7</v>
      </c>
      <c r="H127" s="48">
        <f t="shared" si="40"/>
        <v>7</v>
      </c>
      <c r="I127" s="48">
        <f t="shared" si="40"/>
        <v>7</v>
      </c>
      <c r="J127" s="48">
        <f t="shared" si="40"/>
        <v>7</v>
      </c>
      <c r="K127" s="48">
        <f t="shared" si="40"/>
        <v>7</v>
      </c>
      <c r="L127" s="48">
        <f t="shared" si="40"/>
        <v>7</v>
      </c>
      <c r="M127" s="48">
        <f t="shared" si="40"/>
        <v>7</v>
      </c>
      <c r="N127" s="48">
        <f t="shared" si="30"/>
        <v>84</v>
      </c>
    </row>
    <row r="128" spans="1:14" x14ac:dyDescent="0.25">
      <c r="A128" s="42" t="s">
        <v>35</v>
      </c>
      <c r="B128" s="48">
        <f t="shared" si="28"/>
        <v>3</v>
      </c>
      <c r="C128" s="48">
        <f t="shared" si="28"/>
        <v>3</v>
      </c>
      <c r="D128" s="48">
        <f t="shared" si="28"/>
        <v>3</v>
      </c>
      <c r="E128" s="48">
        <f t="shared" si="28"/>
        <v>3</v>
      </c>
      <c r="F128" s="48">
        <f t="shared" si="28"/>
        <v>3</v>
      </c>
      <c r="G128" s="48">
        <f t="shared" ref="G128:M128" si="41">G20-G38-G56-G74-G92-G110</f>
        <v>3</v>
      </c>
      <c r="H128" s="48">
        <f t="shared" si="41"/>
        <v>3</v>
      </c>
      <c r="I128" s="48">
        <f t="shared" si="41"/>
        <v>3</v>
      </c>
      <c r="J128" s="48">
        <f t="shared" si="41"/>
        <v>3</v>
      </c>
      <c r="K128" s="48">
        <f t="shared" si="41"/>
        <v>3</v>
      </c>
      <c r="L128" s="48">
        <f t="shared" si="41"/>
        <v>3</v>
      </c>
      <c r="M128" s="48">
        <f t="shared" si="41"/>
        <v>3</v>
      </c>
      <c r="N128" s="48">
        <f t="shared" si="30"/>
        <v>36</v>
      </c>
    </row>
    <row r="129" spans="1:14" x14ac:dyDescent="0.25">
      <c r="A129" s="49" t="s">
        <v>36</v>
      </c>
      <c r="B129" s="48">
        <f t="shared" si="28"/>
        <v>7</v>
      </c>
      <c r="C129" s="48">
        <f t="shared" si="28"/>
        <v>7</v>
      </c>
      <c r="D129" s="48">
        <f t="shared" si="28"/>
        <v>7</v>
      </c>
      <c r="E129" s="48">
        <f t="shared" si="28"/>
        <v>7</v>
      </c>
      <c r="F129" s="48">
        <f t="shared" si="28"/>
        <v>7</v>
      </c>
      <c r="G129" s="48">
        <f t="shared" ref="G129:M129" si="42">G21-G39-G57-G75-G93-G111</f>
        <v>7</v>
      </c>
      <c r="H129" s="48">
        <f t="shared" si="42"/>
        <v>7</v>
      </c>
      <c r="I129" s="48">
        <f t="shared" si="42"/>
        <v>7</v>
      </c>
      <c r="J129" s="48">
        <f t="shared" si="42"/>
        <v>7</v>
      </c>
      <c r="K129" s="48">
        <f t="shared" si="42"/>
        <v>7</v>
      </c>
      <c r="L129" s="48">
        <f t="shared" si="42"/>
        <v>7</v>
      </c>
      <c r="M129" s="48">
        <f t="shared" si="42"/>
        <v>7</v>
      </c>
      <c r="N129" s="48">
        <f t="shared" si="30"/>
        <v>84</v>
      </c>
    </row>
    <row r="130" spans="1:14" x14ac:dyDescent="0.25">
      <c r="A130" s="50" t="s">
        <v>2</v>
      </c>
      <c r="B130" s="51">
        <f>SUM(B116:B129)</f>
        <v>822911.39086661488</v>
      </c>
      <c r="C130" s="51">
        <f t="shared" ref="C130:N130" si="43">SUM(C116:C129)</f>
        <v>791647.71600756573</v>
      </c>
      <c r="D130" s="51">
        <f t="shared" si="43"/>
        <v>791087.2886409621</v>
      </c>
      <c r="E130" s="51">
        <f t="shared" si="43"/>
        <v>790518.99937963684</v>
      </c>
      <c r="F130" s="51">
        <f t="shared" si="43"/>
        <v>789945.80770780053</v>
      </c>
      <c r="G130" s="51">
        <f t="shared" si="43"/>
        <v>789362.67277203221</v>
      </c>
      <c r="H130" s="51">
        <f t="shared" si="43"/>
        <v>788776.55337846582</v>
      </c>
      <c r="I130" s="51">
        <f t="shared" si="43"/>
        <v>788181.40798995295</v>
      </c>
      <c r="J130" s="51">
        <f t="shared" si="43"/>
        <v>787587.19472320261</v>
      </c>
      <c r="K130" s="51">
        <f t="shared" si="43"/>
        <v>786987.87134589592</v>
      </c>
      <c r="L130" s="51">
        <f t="shared" si="43"/>
        <v>786382.39527377835</v>
      </c>
      <c r="M130" s="51">
        <f t="shared" si="43"/>
        <v>785774.72356772656</v>
      </c>
      <c r="N130" s="51">
        <f t="shared" si="43"/>
        <v>9499164.0216536336</v>
      </c>
    </row>
    <row r="131" spans="1:14" x14ac:dyDescent="0.25">
      <c r="A131" s="96" t="s">
        <v>117</v>
      </c>
      <c r="B131" s="97">
        <f>B22-B40-B58-B76-B94-B112-B130</f>
        <v>0</v>
      </c>
      <c r="C131" s="97">
        <f t="shared" ref="C131:N131" si="44">C22-C40-C58-C76-C94-C112-C130</f>
        <v>0</v>
      </c>
      <c r="D131" s="97">
        <f t="shared" si="44"/>
        <v>0</v>
      </c>
      <c r="E131" s="97">
        <f t="shared" si="44"/>
        <v>0</v>
      </c>
      <c r="F131" s="97">
        <f t="shared" si="44"/>
        <v>0</v>
      </c>
      <c r="G131" s="97">
        <f t="shared" si="44"/>
        <v>0</v>
      </c>
      <c r="H131" s="97">
        <f t="shared" si="44"/>
        <v>0</v>
      </c>
      <c r="I131" s="97">
        <f t="shared" si="44"/>
        <v>0</v>
      </c>
      <c r="J131" s="97">
        <f t="shared" si="44"/>
        <v>0</v>
      </c>
      <c r="K131" s="97">
        <f t="shared" si="44"/>
        <v>0</v>
      </c>
      <c r="L131" s="97">
        <f t="shared" si="44"/>
        <v>0</v>
      </c>
      <c r="M131" s="97">
        <f t="shared" si="44"/>
        <v>0</v>
      </c>
      <c r="N131" s="97">
        <f t="shared" si="44"/>
        <v>0</v>
      </c>
    </row>
    <row r="133" spans="1:14" ht="17.25" x14ac:dyDescent="0.25">
      <c r="A133" s="39" t="s">
        <v>86</v>
      </c>
    </row>
    <row r="134" spans="1:14" ht="17.25" x14ac:dyDescent="0.25">
      <c r="A134" s="39" t="s">
        <v>87</v>
      </c>
    </row>
    <row r="135" spans="1:14" ht="17.25" x14ac:dyDescent="0.25">
      <c r="A135" s="39" t="s">
        <v>118</v>
      </c>
      <c r="B135" s="92"/>
      <c r="C135" s="92"/>
      <c r="D135" s="92"/>
      <c r="E135" s="92"/>
      <c r="F135" s="92"/>
      <c r="G135" s="92"/>
      <c r="H135" s="92"/>
      <c r="I135" s="92"/>
      <c r="J135" s="92"/>
      <c r="K135" s="92"/>
      <c r="L135" s="92"/>
      <c r="M135" s="92"/>
      <c r="N135" s="92"/>
    </row>
    <row r="136" spans="1:14" ht="18" customHeight="1" x14ac:dyDescent="0.25">
      <c r="A136" s="211" t="s">
        <v>104</v>
      </c>
      <c r="B136" s="211"/>
      <c r="C136" s="211"/>
      <c r="D136" s="211"/>
      <c r="E136" s="211"/>
      <c r="F136" s="211"/>
      <c r="G136" s="211"/>
      <c r="H136" s="211"/>
      <c r="I136" s="211"/>
      <c r="J136" s="211"/>
      <c r="K136" s="211"/>
      <c r="L136" s="211"/>
      <c r="M136" s="211"/>
      <c r="N136" s="211"/>
    </row>
    <row r="137" spans="1:14" x14ac:dyDescent="0.25">
      <c r="A137" s="211"/>
      <c r="B137" s="211"/>
      <c r="C137" s="211"/>
      <c r="D137" s="211"/>
      <c r="E137" s="211"/>
      <c r="F137" s="211"/>
      <c r="G137" s="211"/>
      <c r="H137" s="211"/>
      <c r="I137" s="211"/>
      <c r="J137" s="211"/>
      <c r="K137" s="211"/>
      <c r="L137" s="211"/>
      <c r="M137" s="211"/>
      <c r="N137" s="211"/>
    </row>
    <row r="138" spans="1:14" x14ac:dyDescent="0.25">
      <c r="A138" s="211"/>
      <c r="B138" s="211"/>
      <c r="C138" s="211"/>
      <c r="D138" s="211"/>
      <c r="E138" s="211"/>
      <c r="F138" s="211"/>
      <c r="G138" s="211"/>
      <c r="H138" s="211"/>
      <c r="I138" s="211"/>
      <c r="J138" s="211"/>
      <c r="K138" s="211"/>
      <c r="L138" s="211"/>
      <c r="M138" s="211"/>
      <c r="N138" s="211"/>
    </row>
    <row r="139" spans="1:14" ht="17.25" x14ac:dyDescent="0.25">
      <c r="A139" s="39" t="s">
        <v>105</v>
      </c>
    </row>
  </sheetData>
  <mergeCells count="5">
    <mergeCell ref="A136:N138"/>
    <mergeCell ref="A1:N1"/>
    <mergeCell ref="A2:N2"/>
    <mergeCell ref="A3:N3"/>
    <mergeCell ref="A4:N4"/>
  </mergeCells>
  <printOptions horizontalCentered="1"/>
  <pageMargins left="0.7" right="0.7" top="0.75" bottom="0.75" header="0.3" footer="0.3"/>
  <pageSetup scale="70" fitToHeight="5" orientation="landscape" blackAndWhite="1" r:id="rId1"/>
  <headerFooter>
    <oddFooter>&amp;L&amp;F 
&amp;A&amp;C&amp;P&amp;R&amp;D</oddFooter>
  </headerFooter>
  <rowBreaks count="3" manualBreakCount="3">
    <brk id="40" max="6" man="1"/>
    <brk id="76" max="6" man="1"/>
    <brk id="112" max="6"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7"/>
  <sheetViews>
    <sheetView zoomScale="90" zoomScaleNormal="90" workbookViewId="0">
      <selection activeCell="K5" sqref="K5"/>
    </sheetView>
  </sheetViews>
  <sheetFormatPr defaultColWidth="9.140625" defaultRowHeight="15" x14ac:dyDescent="0.25"/>
  <cols>
    <col min="1" max="1" width="17.85546875" style="39" customWidth="1"/>
    <col min="2" max="6" width="12" style="39" bestFit="1" customWidth="1"/>
    <col min="7" max="13" width="12" style="39" customWidth="1"/>
    <col min="14" max="14" width="13.85546875" style="39" customWidth="1"/>
    <col min="15" max="16384" width="9.140625" style="39"/>
  </cols>
  <sheetData>
    <row r="1" spans="1:14" x14ac:dyDescent="0.25">
      <c r="A1" s="208" t="s">
        <v>0</v>
      </c>
      <c r="B1" s="208"/>
      <c r="C1" s="208"/>
      <c r="D1" s="208"/>
      <c r="E1" s="208"/>
      <c r="F1" s="208"/>
      <c r="G1" s="208"/>
      <c r="H1" s="208"/>
      <c r="I1" s="208"/>
      <c r="J1" s="208"/>
      <c r="K1" s="208"/>
      <c r="L1" s="208"/>
      <c r="M1" s="208"/>
      <c r="N1" s="208"/>
    </row>
    <row r="2" spans="1:14" x14ac:dyDescent="0.25">
      <c r="A2" s="214" t="str">
        <f>'Sch. 111 Charge Rates'!A2</f>
        <v>2023 Gas Schedule 111 Greenhouse Gas Emissions Cap and Invest Adjustment Filing</v>
      </c>
      <c r="B2" s="214"/>
      <c r="C2" s="214"/>
      <c r="D2" s="214"/>
      <c r="E2" s="214"/>
      <c r="F2" s="214"/>
      <c r="G2" s="214"/>
      <c r="H2" s="214"/>
      <c r="I2" s="214"/>
      <c r="J2" s="214"/>
      <c r="K2" s="214"/>
      <c r="L2" s="214"/>
      <c r="M2" s="214"/>
      <c r="N2" s="214"/>
    </row>
    <row r="3" spans="1:14" x14ac:dyDescent="0.25">
      <c r="A3" s="214" t="s">
        <v>51</v>
      </c>
      <c r="B3" s="214"/>
      <c r="C3" s="214"/>
      <c r="D3" s="214"/>
      <c r="E3" s="214"/>
      <c r="F3" s="214"/>
      <c r="G3" s="214"/>
      <c r="H3" s="214"/>
      <c r="I3" s="214"/>
      <c r="J3" s="214"/>
      <c r="K3" s="214"/>
      <c r="L3" s="214"/>
      <c r="M3" s="214"/>
      <c r="N3" s="214"/>
    </row>
    <row r="4" spans="1:14" x14ac:dyDescent="0.25">
      <c r="A4" s="215" t="str">
        <f>TEXT(B7,"Mmmm YYYY - ")&amp;TEXT(M7,"Mmmm YYYY")</f>
        <v>November 2023 - October 2024</v>
      </c>
      <c r="B4" s="214"/>
      <c r="C4" s="214"/>
      <c r="D4" s="214"/>
      <c r="E4" s="214"/>
      <c r="F4" s="214"/>
      <c r="G4" s="214"/>
      <c r="H4" s="214"/>
      <c r="I4" s="214"/>
      <c r="J4" s="214"/>
      <c r="K4" s="214"/>
      <c r="L4" s="214"/>
      <c r="M4" s="214"/>
      <c r="N4" s="214"/>
    </row>
    <row r="5" spans="1:14" x14ac:dyDescent="0.25">
      <c r="A5" s="40"/>
      <c r="B5" s="40"/>
      <c r="C5" s="40"/>
      <c r="D5" s="40"/>
      <c r="E5" s="40"/>
      <c r="F5" s="41"/>
      <c r="G5" s="41"/>
      <c r="H5" s="41"/>
      <c r="I5" s="41"/>
      <c r="J5" s="41"/>
      <c r="K5" s="41"/>
      <c r="L5" s="41"/>
      <c r="M5" s="41"/>
      <c r="N5" s="41"/>
    </row>
    <row r="6" spans="1:14" x14ac:dyDescent="0.25">
      <c r="A6" s="53" t="s">
        <v>54</v>
      </c>
      <c r="B6" s="40"/>
      <c r="C6" s="40"/>
      <c r="D6" s="40"/>
      <c r="E6" s="40"/>
      <c r="F6" s="41"/>
      <c r="G6" s="41"/>
      <c r="H6" s="41"/>
      <c r="I6" s="41"/>
      <c r="J6" s="41"/>
      <c r="K6" s="41"/>
      <c r="L6" s="41"/>
      <c r="M6" s="41"/>
      <c r="N6" s="41"/>
    </row>
    <row r="7" spans="1:14" x14ac:dyDescent="0.25">
      <c r="A7" s="43" t="s">
        <v>52</v>
      </c>
      <c r="B7" s="44">
        <v>45231</v>
      </c>
      <c r="C7" s="45">
        <f>EDATE(B7,1)</f>
        <v>45261</v>
      </c>
      <c r="D7" s="45">
        <f t="shared" ref="D7:F7" si="0">EDATE(C7,1)</f>
        <v>45292</v>
      </c>
      <c r="E7" s="45">
        <f t="shared" si="0"/>
        <v>45323</v>
      </c>
      <c r="F7" s="45">
        <f t="shared" si="0"/>
        <v>45352</v>
      </c>
      <c r="G7" s="45">
        <f t="shared" ref="G7" si="1">EDATE(F7,1)</f>
        <v>45383</v>
      </c>
      <c r="H7" s="45">
        <f t="shared" ref="H7" si="2">EDATE(G7,1)</f>
        <v>45413</v>
      </c>
      <c r="I7" s="45">
        <f t="shared" ref="I7" si="3">EDATE(H7,1)</f>
        <v>45444</v>
      </c>
      <c r="J7" s="45">
        <f t="shared" ref="J7" si="4">EDATE(I7,1)</f>
        <v>45474</v>
      </c>
      <c r="K7" s="45">
        <f t="shared" ref="K7" si="5">EDATE(J7,1)</f>
        <v>45505</v>
      </c>
      <c r="L7" s="45">
        <f t="shared" ref="L7" si="6">EDATE(K7,1)</f>
        <v>45536</v>
      </c>
      <c r="M7" s="45">
        <f t="shared" ref="M7" si="7">EDATE(L7,1)</f>
        <v>45566</v>
      </c>
      <c r="N7" s="46" t="s">
        <v>2</v>
      </c>
    </row>
    <row r="8" spans="1:14" x14ac:dyDescent="0.25">
      <c r="A8" s="42">
        <v>16</v>
      </c>
      <c r="B8" s="47">
        <v>583</v>
      </c>
      <c r="C8" s="47">
        <v>583</v>
      </c>
      <c r="D8" s="47">
        <v>583</v>
      </c>
      <c r="E8" s="47">
        <v>583</v>
      </c>
      <c r="F8" s="47">
        <v>583</v>
      </c>
      <c r="G8" s="47">
        <v>583</v>
      </c>
      <c r="H8" s="47">
        <v>583</v>
      </c>
      <c r="I8" s="47">
        <v>583</v>
      </c>
      <c r="J8" s="47">
        <v>583</v>
      </c>
      <c r="K8" s="47">
        <v>583</v>
      </c>
      <c r="L8" s="47">
        <v>583</v>
      </c>
      <c r="M8" s="47">
        <v>583</v>
      </c>
      <c r="N8" s="48">
        <f>SUM(B8:M8)</f>
        <v>6996</v>
      </c>
    </row>
    <row r="9" spans="1:14" x14ac:dyDescent="0.25">
      <c r="A9" s="42">
        <v>23</v>
      </c>
      <c r="B9" s="47">
        <v>65562560</v>
      </c>
      <c r="C9" s="47">
        <v>87632029</v>
      </c>
      <c r="D9" s="47">
        <v>85099134</v>
      </c>
      <c r="E9" s="47">
        <v>74985418</v>
      </c>
      <c r="F9" s="47">
        <v>68653480</v>
      </c>
      <c r="G9" s="47">
        <v>46949280</v>
      </c>
      <c r="H9" s="47">
        <v>27300857</v>
      </c>
      <c r="I9" s="47">
        <v>18661784</v>
      </c>
      <c r="J9" s="47">
        <v>14141387</v>
      </c>
      <c r="K9" s="47">
        <v>13556472</v>
      </c>
      <c r="L9" s="47">
        <v>17856721</v>
      </c>
      <c r="M9" s="47">
        <v>38270559</v>
      </c>
      <c r="N9" s="48">
        <f t="shared" ref="N9:N21" si="8">SUM(B9:M9)</f>
        <v>558669681</v>
      </c>
    </row>
    <row r="10" spans="1:14" x14ac:dyDescent="0.25">
      <c r="A10" s="42">
        <v>53</v>
      </c>
      <c r="B10" s="47">
        <v>0</v>
      </c>
      <c r="C10" s="47">
        <v>0</v>
      </c>
      <c r="D10" s="47">
        <v>0</v>
      </c>
      <c r="E10" s="47">
        <v>0</v>
      </c>
      <c r="F10" s="47">
        <v>0</v>
      </c>
      <c r="G10" s="47">
        <v>0</v>
      </c>
      <c r="H10" s="47">
        <v>0</v>
      </c>
      <c r="I10" s="47">
        <v>0</v>
      </c>
      <c r="J10" s="47">
        <v>0</v>
      </c>
      <c r="K10" s="47">
        <v>0</v>
      </c>
      <c r="L10" s="47">
        <v>0</v>
      </c>
      <c r="M10" s="47">
        <v>0</v>
      </c>
      <c r="N10" s="48">
        <f t="shared" si="8"/>
        <v>0</v>
      </c>
    </row>
    <row r="11" spans="1:14" ht="17.25" x14ac:dyDescent="0.25">
      <c r="A11" s="42" t="s">
        <v>247</v>
      </c>
      <c r="B11" s="47">
        <f>28075770-B16</f>
        <v>28075769</v>
      </c>
      <c r="C11" s="47">
        <f>34266762-C16</f>
        <v>34266634</v>
      </c>
      <c r="D11" s="47">
        <f>29841972-D16</f>
        <v>29841444</v>
      </c>
      <c r="E11" s="47">
        <f>26959673-E16</f>
        <v>26959612</v>
      </c>
      <c r="F11" s="47">
        <f>23951671-F16</f>
        <v>23951671</v>
      </c>
      <c r="G11" s="47">
        <f>17138745-G16</f>
        <v>17138745</v>
      </c>
      <c r="H11" s="47">
        <f>12479173-H16</f>
        <v>12479173</v>
      </c>
      <c r="I11" s="47">
        <f>10007332-I16</f>
        <v>10007332</v>
      </c>
      <c r="J11" s="47">
        <f>8541920-J16</f>
        <v>8541920</v>
      </c>
      <c r="K11" s="47">
        <f>9385859-K16</f>
        <v>9385859</v>
      </c>
      <c r="L11" s="47">
        <f>11554397-L16</f>
        <v>11554178</v>
      </c>
      <c r="M11" s="47">
        <f>19568959-M16</f>
        <v>19568944</v>
      </c>
      <c r="N11" s="48">
        <f t="shared" si="8"/>
        <v>231771281</v>
      </c>
    </row>
    <row r="12" spans="1:14" x14ac:dyDescent="0.25">
      <c r="A12" s="42">
        <v>41</v>
      </c>
      <c r="B12" s="47">
        <v>7466927</v>
      </c>
      <c r="C12" s="47">
        <v>8120651</v>
      </c>
      <c r="D12" s="47">
        <v>7027771</v>
      </c>
      <c r="E12" s="47">
        <v>6731689</v>
      </c>
      <c r="F12" s="47">
        <v>6193338</v>
      </c>
      <c r="G12" s="47">
        <v>4749198</v>
      </c>
      <c r="H12" s="47">
        <v>3794892</v>
      </c>
      <c r="I12" s="47">
        <v>3220044</v>
      </c>
      <c r="J12" s="47">
        <v>2633383</v>
      </c>
      <c r="K12" s="47">
        <v>2880961</v>
      </c>
      <c r="L12" s="47">
        <v>3593806</v>
      </c>
      <c r="M12" s="47">
        <v>5682283</v>
      </c>
      <c r="N12" s="48">
        <f t="shared" si="8"/>
        <v>62094943</v>
      </c>
    </row>
    <row r="13" spans="1:14" x14ac:dyDescent="0.25">
      <c r="A13" s="42">
        <v>85</v>
      </c>
      <c r="B13" s="47">
        <v>1566880</v>
      </c>
      <c r="C13" s="47">
        <v>1847879</v>
      </c>
      <c r="D13" s="47">
        <v>1599575</v>
      </c>
      <c r="E13" s="47">
        <v>1594052</v>
      </c>
      <c r="F13" s="47">
        <v>1547353</v>
      </c>
      <c r="G13" s="47">
        <v>1330588</v>
      </c>
      <c r="H13" s="47">
        <v>1333543</v>
      </c>
      <c r="I13" s="47">
        <v>1228915</v>
      </c>
      <c r="J13" s="47">
        <v>1241425</v>
      </c>
      <c r="K13" s="47">
        <v>1346578</v>
      </c>
      <c r="L13" s="47">
        <v>1180877</v>
      </c>
      <c r="M13" s="47">
        <v>1444713</v>
      </c>
      <c r="N13" s="48">
        <f t="shared" si="8"/>
        <v>17262378</v>
      </c>
    </row>
    <row r="14" spans="1:14" x14ac:dyDescent="0.25">
      <c r="A14" s="42">
        <v>86</v>
      </c>
      <c r="B14" s="47">
        <v>520057</v>
      </c>
      <c r="C14" s="47">
        <v>815418</v>
      </c>
      <c r="D14" s="47">
        <v>702664</v>
      </c>
      <c r="E14" s="47">
        <v>693062</v>
      </c>
      <c r="F14" s="47">
        <v>665938</v>
      </c>
      <c r="G14" s="47">
        <v>468531</v>
      </c>
      <c r="H14" s="47">
        <v>388605</v>
      </c>
      <c r="I14" s="47">
        <v>222624</v>
      </c>
      <c r="J14" s="47">
        <v>99487</v>
      </c>
      <c r="K14" s="47">
        <v>17695</v>
      </c>
      <c r="L14" s="47">
        <v>47188</v>
      </c>
      <c r="M14" s="47">
        <v>274533</v>
      </c>
      <c r="N14" s="48">
        <f t="shared" si="8"/>
        <v>4915802</v>
      </c>
    </row>
    <row r="15" spans="1:14" x14ac:dyDescent="0.25">
      <c r="A15" s="42">
        <v>87</v>
      </c>
      <c r="B15" s="47">
        <v>2056906</v>
      </c>
      <c r="C15" s="47">
        <v>2445861</v>
      </c>
      <c r="D15" s="47">
        <v>1836059</v>
      </c>
      <c r="E15" s="47">
        <v>1824391</v>
      </c>
      <c r="F15" s="47">
        <v>1749044</v>
      </c>
      <c r="G15" s="47">
        <v>1402353</v>
      </c>
      <c r="H15" s="47">
        <v>1509483</v>
      </c>
      <c r="I15" s="47">
        <v>1358291</v>
      </c>
      <c r="J15" s="47">
        <v>1475182</v>
      </c>
      <c r="K15" s="47">
        <v>1610634</v>
      </c>
      <c r="L15" s="47">
        <v>1501333</v>
      </c>
      <c r="M15" s="47">
        <v>2068873</v>
      </c>
      <c r="N15" s="48">
        <f t="shared" si="8"/>
        <v>20838410</v>
      </c>
    </row>
    <row r="16" spans="1:14" ht="17.25" x14ac:dyDescent="0.25">
      <c r="A16" s="42" t="s">
        <v>248</v>
      </c>
      <c r="B16" s="47">
        <v>1</v>
      </c>
      <c r="C16" s="47">
        <v>128</v>
      </c>
      <c r="D16" s="47">
        <v>528</v>
      </c>
      <c r="E16" s="47">
        <v>61</v>
      </c>
      <c r="F16" s="47">
        <v>0</v>
      </c>
      <c r="G16" s="47">
        <v>0</v>
      </c>
      <c r="H16" s="47">
        <v>0</v>
      </c>
      <c r="I16" s="47">
        <v>0</v>
      </c>
      <c r="J16" s="47">
        <v>0</v>
      </c>
      <c r="K16" s="47">
        <v>0</v>
      </c>
      <c r="L16" s="47">
        <v>219</v>
      </c>
      <c r="M16" s="47">
        <v>15</v>
      </c>
      <c r="N16" s="48">
        <f t="shared" si="8"/>
        <v>952</v>
      </c>
    </row>
    <row r="17" spans="1:14" x14ac:dyDescent="0.25">
      <c r="A17" s="42" t="s">
        <v>29</v>
      </c>
      <c r="B17" s="47">
        <v>1805929</v>
      </c>
      <c r="C17" s="47">
        <v>1741423</v>
      </c>
      <c r="D17" s="47">
        <v>1774331</v>
      </c>
      <c r="E17" s="47">
        <v>2017130</v>
      </c>
      <c r="F17" s="47">
        <v>1793236</v>
      </c>
      <c r="G17" s="47">
        <v>1909641</v>
      </c>
      <c r="H17" s="47">
        <v>1839584</v>
      </c>
      <c r="I17" s="47">
        <v>1883319</v>
      </c>
      <c r="J17" s="47">
        <v>1678682</v>
      </c>
      <c r="K17" s="47">
        <v>1691880</v>
      </c>
      <c r="L17" s="47">
        <v>1738088</v>
      </c>
      <c r="M17" s="47">
        <v>1511046</v>
      </c>
      <c r="N17" s="48">
        <f t="shared" si="8"/>
        <v>21384289</v>
      </c>
    </row>
    <row r="18" spans="1:14" x14ac:dyDescent="0.25">
      <c r="A18" s="42" t="s">
        <v>31</v>
      </c>
      <c r="B18" s="47">
        <v>5535795</v>
      </c>
      <c r="C18" s="47">
        <v>5111876</v>
      </c>
      <c r="D18" s="47">
        <v>5041670</v>
      </c>
      <c r="E18" s="47">
        <v>5872492</v>
      </c>
      <c r="F18" s="47">
        <v>5053847</v>
      </c>
      <c r="G18" s="47">
        <v>5656126</v>
      </c>
      <c r="H18" s="47">
        <v>5832342</v>
      </c>
      <c r="I18" s="47">
        <v>5420147</v>
      </c>
      <c r="J18" s="47">
        <v>4980768</v>
      </c>
      <c r="K18" s="47">
        <v>4885851</v>
      </c>
      <c r="L18" s="47">
        <v>5424449</v>
      </c>
      <c r="M18" s="47">
        <v>4526473</v>
      </c>
      <c r="N18" s="48">
        <f t="shared" si="8"/>
        <v>63341836</v>
      </c>
    </row>
    <row r="19" spans="1:14" x14ac:dyDescent="0.25">
      <c r="A19" s="42" t="s">
        <v>33</v>
      </c>
      <c r="B19" s="47">
        <v>106528</v>
      </c>
      <c r="C19" s="47">
        <v>97852</v>
      </c>
      <c r="D19" s="47">
        <v>97698</v>
      </c>
      <c r="E19" s="47">
        <v>118656</v>
      </c>
      <c r="F19" s="47">
        <v>101941</v>
      </c>
      <c r="G19" s="47">
        <v>111179</v>
      </c>
      <c r="H19" s="47">
        <v>104880</v>
      </c>
      <c r="I19" s="47">
        <v>104204</v>
      </c>
      <c r="J19" s="47">
        <v>90225</v>
      </c>
      <c r="K19" s="47">
        <v>83370</v>
      </c>
      <c r="L19" s="47">
        <v>96837</v>
      </c>
      <c r="M19" s="47">
        <v>83739</v>
      </c>
      <c r="N19" s="48">
        <f t="shared" si="8"/>
        <v>1197109</v>
      </c>
    </row>
    <row r="20" spans="1:14" x14ac:dyDescent="0.25">
      <c r="A20" s="42" t="s">
        <v>35</v>
      </c>
      <c r="B20" s="47">
        <v>10204277</v>
      </c>
      <c r="C20" s="47">
        <v>10279308</v>
      </c>
      <c r="D20" s="47">
        <v>8759343</v>
      </c>
      <c r="E20" s="47">
        <v>10236860</v>
      </c>
      <c r="F20" s="47">
        <v>8918493</v>
      </c>
      <c r="G20" s="47">
        <v>9439582</v>
      </c>
      <c r="H20" s="47">
        <v>10257828</v>
      </c>
      <c r="I20" s="47">
        <v>11399495</v>
      </c>
      <c r="J20" s="47">
        <v>11779346</v>
      </c>
      <c r="K20" s="47">
        <v>11336188</v>
      </c>
      <c r="L20" s="47">
        <v>11888460</v>
      </c>
      <c r="M20" s="47">
        <v>10208495</v>
      </c>
      <c r="N20" s="48">
        <f t="shared" si="8"/>
        <v>124707675</v>
      </c>
    </row>
    <row r="21" spans="1:14" x14ac:dyDescent="0.25">
      <c r="A21" s="49" t="s">
        <v>36</v>
      </c>
      <c r="B21" s="47">
        <v>3428189</v>
      </c>
      <c r="C21" s="47">
        <v>3505761</v>
      </c>
      <c r="D21" s="47">
        <v>3416838</v>
      </c>
      <c r="E21" s="47">
        <v>4104572</v>
      </c>
      <c r="F21" s="47">
        <v>2869624</v>
      </c>
      <c r="G21" s="47">
        <v>2802981</v>
      </c>
      <c r="H21" s="47">
        <v>2518324</v>
      </c>
      <c r="I21" s="47">
        <v>1983662</v>
      </c>
      <c r="J21" s="47">
        <v>1748321</v>
      </c>
      <c r="K21" s="47">
        <v>1594116</v>
      </c>
      <c r="L21" s="47">
        <v>1962548</v>
      </c>
      <c r="M21" s="47">
        <v>2065335</v>
      </c>
      <c r="N21" s="48">
        <f t="shared" si="8"/>
        <v>32000271</v>
      </c>
    </row>
    <row r="22" spans="1:14" x14ac:dyDescent="0.25">
      <c r="A22" s="50" t="s">
        <v>2</v>
      </c>
      <c r="B22" s="51">
        <f>SUM(B8:B21)</f>
        <v>126330401</v>
      </c>
      <c r="C22" s="51">
        <f t="shared" ref="C22:N22" si="9">SUM(C8:C21)</f>
        <v>155865403</v>
      </c>
      <c r="D22" s="51">
        <f t="shared" si="9"/>
        <v>145197638</v>
      </c>
      <c r="E22" s="51">
        <f t="shared" si="9"/>
        <v>135138578</v>
      </c>
      <c r="F22" s="51">
        <f t="shared" si="9"/>
        <v>121498548</v>
      </c>
      <c r="G22" s="51">
        <f t="shared" si="9"/>
        <v>91958787</v>
      </c>
      <c r="H22" s="51">
        <f t="shared" si="9"/>
        <v>67360094</v>
      </c>
      <c r="I22" s="51">
        <f t="shared" si="9"/>
        <v>55490400</v>
      </c>
      <c r="J22" s="51">
        <f t="shared" si="9"/>
        <v>48410709</v>
      </c>
      <c r="K22" s="51">
        <f t="shared" si="9"/>
        <v>48390187</v>
      </c>
      <c r="L22" s="51">
        <f t="shared" si="9"/>
        <v>56845287</v>
      </c>
      <c r="M22" s="51">
        <f t="shared" si="9"/>
        <v>85705591</v>
      </c>
      <c r="N22" s="51">
        <f t="shared" si="9"/>
        <v>1138191623</v>
      </c>
    </row>
    <row r="23" spans="1:14" x14ac:dyDescent="0.25">
      <c r="A23" s="50"/>
      <c r="B23" s="52"/>
      <c r="C23" s="52"/>
      <c r="D23" s="52"/>
      <c r="E23" s="52"/>
      <c r="F23" s="52"/>
      <c r="G23" s="52"/>
      <c r="H23" s="52"/>
      <c r="I23" s="52"/>
      <c r="J23" s="52"/>
      <c r="K23" s="52"/>
      <c r="L23" s="52"/>
      <c r="M23" s="52"/>
      <c r="N23" s="52"/>
    </row>
    <row r="24" spans="1:14" x14ac:dyDescent="0.25">
      <c r="A24" s="53" t="s">
        <v>53</v>
      </c>
      <c r="B24" s="40"/>
      <c r="C24" s="40"/>
      <c r="D24" s="40"/>
      <c r="E24" s="40"/>
      <c r="F24" s="41"/>
      <c r="G24" s="41"/>
      <c r="H24" s="41"/>
      <c r="I24" s="41"/>
      <c r="J24" s="41"/>
      <c r="K24" s="41"/>
      <c r="L24" s="41"/>
      <c r="M24" s="41"/>
      <c r="N24" s="41"/>
    </row>
    <row r="25" spans="1:14" x14ac:dyDescent="0.25">
      <c r="A25" s="43" t="s">
        <v>52</v>
      </c>
      <c r="B25" s="45">
        <f>B7</f>
        <v>45231</v>
      </c>
      <c r="C25" s="45">
        <f>C7</f>
        <v>45261</v>
      </c>
      <c r="D25" s="45">
        <f>D7</f>
        <v>45292</v>
      </c>
      <c r="E25" s="45">
        <f>E7</f>
        <v>45323</v>
      </c>
      <c r="F25" s="45">
        <f>F7</f>
        <v>45352</v>
      </c>
      <c r="G25" s="45">
        <f t="shared" ref="G25:M25" si="10">G7</f>
        <v>45383</v>
      </c>
      <c r="H25" s="45">
        <f t="shared" si="10"/>
        <v>45413</v>
      </c>
      <c r="I25" s="45">
        <f t="shared" si="10"/>
        <v>45444</v>
      </c>
      <c r="J25" s="45">
        <f t="shared" si="10"/>
        <v>45474</v>
      </c>
      <c r="K25" s="45">
        <f t="shared" si="10"/>
        <v>45505</v>
      </c>
      <c r="L25" s="45">
        <f t="shared" si="10"/>
        <v>45536</v>
      </c>
      <c r="M25" s="45">
        <f t="shared" si="10"/>
        <v>45566</v>
      </c>
      <c r="N25" s="46" t="s">
        <v>2</v>
      </c>
    </row>
    <row r="26" spans="1:14" x14ac:dyDescent="0.25">
      <c r="A26" s="42">
        <v>16</v>
      </c>
      <c r="B26" s="47">
        <v>4</v>
      </c>
      <c r="C26" s="47">
        <v>4</v>
      </c>
      <c r="D26" s="47">
        <v>4</v>
      </c>
      <c r="E26" s="47">
        <v>4</v>
      </c>
      <c r="F26" s="47">
        <v>4</v>
      </c>
      <c r="G26" s="47">
        <v>4</v>
      </c>
      <c r="H26" s="47">
        <v>4</v>
      </c>
      <c r="I26" s="47">
        <v>4</v>
      </c>
      <c r="J26" s="47">
        <v>4</v>
      </c>
      <c r="K26" s="47">
        <v>4</v>
      </c>
      <c r="L26" s="47">
        <v>4</v>
      </c>
      <c r="M26" s="47">
        <v>4</v>
      </c>
      <c r="N26" s="48">
        <f>SUM(B26:M26)</f>
        <v>48</v>
      </c>
    </row>
    <row r="27" spans="1:14" x14ac:dyDescent="0.25">
      <c r="A27" s="42">
        <v>23</v>
      </c>
      <c r="B27" s="47">
        <v>818735</v>
      </c>
      <c r="C27" s="47">
        <v>818788</v>
      </c>
      <c r="D27" s="47">
        <v>818788</v>
      </c>
      <c r="E27" s="47">
        <v>818788</v>
      </c>
      <c r="F27" s="47">
        <v>818788</v>
      </c>
      <c r="G27" s="47">
        <v>818788</v>
      </c>
      <c r="H27" s="47">
        <v>818788</v>
      </c>
      <c r="I27" s="47">
        <v>818788</v>
      </c>
      <c r="J27" s="47">
        <v>818788</v>
      </c>
      <c r="K27" s="47">
        <v>818788</v>
      </c>
      <c r="L27" s="47">
        <v>818788</v>
      </c>
      <c r="M27" s="47">
        <v>818788</v>
      </c>
      <c r="N27" s="48">
        <f t="shared" ref="N27:N39" si="11">SUM(B27:M27)</f>
        <v>9825403</v>
      </c>
    </row>
    <row r="28" spans="1:14" x14ac:dyDescent="0.25">
      <c r="A28" s="42">
        <v>53</v>
      </c>
      <c r="B28" s="47">
        <v>0</v>
      </c>
      <c r="C28" s="47">
        <v>0</v>
      </c>
      <c r="D28" s="47">
        <v>0</v>
      </c>
      <c r="E28" s="47">
        <v>0</v>
      </c>
      <c r="F28" s="47">
        <v>0</v>
      </c>
      <c r="G28" s="47">
        <v>0</v>
      </c>
      <c r="H28" s="47">
        <v>0</v>
      </c>
      <c r="I28" s="47">
        <v>0</v>
      </c>
      <c r="J28" s="47">
        <v>0</v>
      </c>
      <c r="K28" s="47">
        <v>0</v>
      </c>
      <c r="L28" s="47">
        <v>0</v>
      </c>
      <c r="M28" s="47">
        <v>0</v>
      </c>
      <c r="N28" s="48">
        <f t="shared" si="11"/>
        <v>0</v>
      </c>
    </row>
    <row r="29" spans="1:14" ht="17.25" x14ac:dyDescent="0.25">
      <c r="A29" s="42" t="s">
        <v>247</v>
      </c>
      <c r="B29" s="47">
        <f>58174-B34</f>
        <v>58173</v>
      </c>
      <c r="C29" s="47">
        <f>58203-C34</f>
        <v>58202</v>
      </c>
      <c r="D29" s="47">
        <f>58213-D34</f>
        <v>58212</v>
      </c>
      <c r="E29" s="47">
        <f>58238-E34</f>
        <v>58237</v>
      </c>
      <c r="F29" s="47">
        <f>58257-F34</f>
        <v>58256</v>
      </c>
      <c r="G29" s="47">
        <f>58273-G34</f>
        <v>58272</v>
      </c>
      <c r="H29" s="47">
        <f>58294-H34</f>
        <v>58293</v>
      </c>
      <c r="I29" s="47">
        <f>58310-I34</f>
        <v>58309</v>
      </c>
      <c r="J29" s="47">
        <f>58332-J34</f>
        <v>58331</v>
      </c>
      <c r="K29" s="47">
        <f>58354-K34</f>
        <v>58353</v>
      </c>
      <c r="L29" s="47">
        <f>58369-L34</f>
        <v>58368</v>
      </c>
      <c r="M29" s="47">
        <f>58388-M34</f>
        <v>58387</v>
      </c>
      <c r="N29" s="48">
        <f t="shared" si="11"/>
        <v>699393</v>
      </c>
    </row>
    <row r="30" spans="1:14" x14ac:dyDescent="0.25">
      <c r="A30" s="42">
        <v>41</v>
      </c>
      <c r="B30" s="47">
        <v>1241</v>
      </c>
      <c r="C30" s="47">
        <v>1236</v>
      </c>
      <c r="D30" s="47">
        <v>1249</v>
      </c>
      <c r="E30" s="47">
        <v>1245</v>
      </c>
      <c r="F30" s="47">
        <v>1246</v>
      </c>
      <c r="G30" s="47">
        <v>1245</v>
      </c>
      <c r="H30" s="47">
        <v>1242</v>
      </c>
      <c r="I30" s="47">
        <v>1239</v>
      </c>
      <c r="J30" s="47">
        <v>1236</v>
      </c>
      <c r="K30" s="47">
        <v>1234</v>
      </c>
      <c r="L30" s="47">
        <v>1237</v>
      </c>
      <c r="M30" s="47">
        <v>1239</v>
      </c>
      <c r="N30" s="48">
        <f t="shared" si="11"/>
        <v>14889</v>
      </c>
    </row>
    <row r="31" spans="1:14" x14ac:dyDescent="0.25">
      <c r="A31" s="42">
        <v>85</v>
      </c>
      <c r="B31" s="47">
        <v>35</v>
      </c>
      <c r="C31" s="47">
        <v>35</v>
      </c>
      <c r="D31" s="47">
        <v>35</v>
      </c>
      <c r="E31" s="47">
        <v>35</v>
      </c>
      <c r="F31" s="47">
        <v>35</v>
      </c>
      <c r="G31" s="47">
        <v>35</v>
      </c>
      <c r="H31" s="47">
        <v>35</v>
      </c>
      <c r="I31" s="47">
        <v>35</v>
      </c>
      <c r="J31" s="47">
        <v>35</v>
      </c>
      <c r="K31" s="47">
        <v>35</v>
      </c>
      <c r="L31" s="47">
        <v>35</v>
      </c>
      <c r="M31" s="47">
        <v>35</v>
      </c>
      <c r="N31" s="48">
        <f t="shared" si="11"/>
        <v>420</v>
      </c>
    </row>
    <row r="32" spans="1:14" x14ac:dyDescent="0.25">
      <c r="A32" s="42">
        <v>86</v>
      </c>
      <c r="B32" s="47">
        <v>102</v>
      </c>
      <c r="C32" s="47">
        <v>102</v>
      </c>
      <c r="D32" s="47">
        <v>102</v>
      </c>
      <c r="E32" s="47">
        <v>101</v>
      </c>
      <c r="F32" s="47">
        <v>101</v>
      </c>
      <c r="G32" s="47">
        <v>101</v>
      </c>
      <c r="H32" s="47">
        <v>100</v>
      </c>
      <c r="I32" s="47">
        <v>100</v>
      </c>
      <c r="J32" s="47">
        <v>100</v>
      </c>
      <c r="K32" s="47">
        <v>99</v>
      </c>
      <c r="L32" s="47">
        <v>99</v>
      </c>
      <c r="M32" s="47">
        <v>99</v>
      </c>
      <c r="N32" s="48">
        <f t="shared" si="11"/>
        <v>1206</v>
      </c>
    </row>
    <row r="33" spans="1:14" x14ac:dyDescent="0.25">
      <c r="A33" s="42">
        <v>87</v>
      </c>
      <c r="B33" s="47">
        <v>4</v>
      </c>
      <c r="C33" s="47">
        <v>4</v>
      </c>
      <c r="D33" s="47">
        <v>4</v>
      </c>
      <c r="E33" s="47">
        <v>4</v>
      </c>
      <c r="F33" s="47">
        <v>4</v>
      </c>
      <c r="G33" s="47">
        <v>4</v>
      </c>
      <c r="H33" s="47">
        <v>4</v>
      </c>
      <c r="I33" s="47">
        <v>4</v>
      </c>
      <c r="J33" s="47">
        <v>4</v>
      </c>
      <c r="K33" s="47">
        <v>4</v>
      </c>
      <c r="L33" s="47">
        <v>4</v>
      </c>
      <c r="M33" s="47">
        <v>4</v>
      </c>
      <c r="N33" s="48">
        <f t="shared" si="11"/>
        <v>48</v>
      </c>
    </row>
    <row r="34" spans="1:14" ht="17.25" x14ac:dyDescent="0.25">
      <c r="A34" s="42" t="s">
        <v>248</v>
      </c>
      <c r="B34" s="47">
        <v>1</v>
      </c>
      <c r="C34" s="47">
        <v>1</v>
      </c>
      <c r="D34" s="47">
        <v>1</v>
      </c>
      <c r="E34" s="47">
        <v>1</v>
      </c>
      <c r="F34" s="47">
        <v>1</v>
      </c>
      <c r="G34" s="47">
        <v>1</v>
      </c>
      <c r="H34" s="47">
        <v>1</v>
      </c>
      <c r="I34" s="47">
        <v>1</v>
      </c>
      <c r="J34" s="47">
        <v>1</v>
      </c>
      <c r="K34" s="47">
        <v>1</v>
      </c>
      <c r="L34" s="47">
        <v>1</v>
      </c>
      <c r="M34" s="47">
        <v>1</v>
      </c>
      <c r="N34" s="48">
        <f t="shared" si="11"/>
        <v>12</v>
      </c>
    </row>
    <row r="35" spans="1:14" x14ac:dyDescent="0.25">
      <c r="A35" s="42" t="s">
        <v>29</v>
      </c>
      <c r="B35" s="47">
        <v>94</v>
      </c>
      <c r="C35" s="47">
        <v>94</v>
      </c>
      <c r="D35" s="47">
        <v>94</v>
      </c>
      <c r="E35" s="47">
        <v>94</v>
      </c>
      <c r="F35" s="47">
        <v>94</v>
      </c>
      <c r="G35" s="47">
        <v>94</v>
      </c>
      <c r="H35" s="47">
        <v>94</v>
      </c>
      <c r="I35" s="47">
        <v>94</v>
      </c>
      <c r="J35" s="47">
        <v>94</v>
      </c>
      <c r="K35" s="47">
        <v>94</v>
      </c>
      <c r="L35" s="47">
        <v>94</v>
      </c>
      <c r="M35" s="47">
        <v>94</v>
      </c>
      <c r="N35" s="48">
        <f t="shared" si="11"/>
        <v>1128</v>
      </c>
    </row>
    <row r="36" spans="1:14" x14ac:dyDescent="0.25">
      <c r="A36" s="42" t="s">
        <v>31</v>
      </c>
      <c r="B36" s="47">
        <v>83</v>
      </c>
      <c r="C36" s="47">
        <v>83</v>
      </c>
      <c r="D36" s="47">
        <v>83</v>
      </c>
      <c r="E36" s="47">
        <v>83</v>
      </c>
      <c r="F36" s="47">
        <v>83</v>
      </c>
      <c r="G36" s="47">
        <v>83</v>
      </c>
      <c r="H36" s="47">
        <v>83</v>
      </c>
      <c r="I36" s="47">
        <v>83</v>
      </c>
      <c r="J36" s="47">
        <v>83</v>
      </c>
      <c r="K36" s="47">
        <v>83</v>
      </c>
      <c r="L36" s="47">
        <v>83</v>
      </c>
      <c r="M36" s="47">
        <v>83</v>
      </c>
      <c r="N36" s="48">
        <f t="shared" si="11"/>
        <v>996</v>
      </c>
    </row>
    <row r="37" spans="1:14" x14ac:dyDescent="0.25">
      <c r="A37" s="42" t="s">
        <v>33</v>
      </c>
      <c r="B37" s="47">
        <v>7</v>
      </c>
      <c r="C37" s="47">
        <v>7</v>
      </c>
      <c r="D37" s="47">
        <v>7</v>
      </c>
      <c r="E37" s="47">
        <v>7</v>
      </c>
      <c r="F37" s="47">
        <v>7</v>
      </c>
      <c r="G37" s="47">
        <v>7</v>
      </c>
      <c r="H37" s="47">
        <v>7</v>
      </c>
      <c r="I37" s="47">
        <v>7</v>
      </c>
      <c r="J37" s="47">
        <v>7</v>
      </c>
      <c r="K37" s="47">
        <v>7</v>
      </c>
      <c r="L37" s="47">
        <v>7</v>
      </c>
      <c r="M37" s="47">
        <v>7</v>
      </c>
      <c r="N37" s="48">
        <f t="shared" si="11"/>
        <v>84</v>
      </c>
    </row>
    <row r="38" spans="1:14" x14ac:dyDescent="0.25">
      <c r="A38" s="42" t="s">
        <v>35</v>
      </c>
      <c r="B38" s="47">
        <v>11</v>
      </c>
      <c r="C38" s="47">
        <v>11</v>
      </c>
      <c r="D38" s="47">
        <v>11</v>
      </c>
      <c r="E38" s="47">
        <v>11</v>
      </c>
      <c r="F38" s="47">
        <v>11</v>
      </c>
      <c r="G38" s="47">
        <v>11</v>
      </c>
      <c r="H38" s="47">
        <v>11</v>
      </c>
      <c r="I38" s="47">
        <v>11</v>
      </c>
      <c r="J38" s="47">
        <v>11</v>
      </c>
      <c r="K38" s="47">
        <v>11</v>
      </c>
      <c r="L38" s="47">
        <v>11</v>
      </c>
      <c r="M38" s="47">
        <v>11</v>
      </c>
      <c r="N38" s="48">
        <f t="shared" si="11"/>
        <v>132</v>
      </c>
    </row>
    <row r="39" spans="1:14" x14ac:dyDescent="0.25">
      <c r="A39" s="49" t="s">
        <v>36</v>
      </c>
      <c r="B39" s="47">
        <v>9</v>
      </c>
      <c r="C39" s="47">
        <v>9</v>
      </c>
      <c r="D39" s="47">
        <v>9</v>
      </c>
      <c r="E39" s="47">
        <v>9</v>
      </c>
      <c r="F39" s="47">
        <v>9</v>
      </c>
      <c r="G39" s="47">
        <v>9</v>
      </c>
      <c r="H39" s="47">
        <v>9</v>
      </c>
      <c r="I39" s="47">
        <v>9</v>
      </c>
      <c r="J39" s="47">
        <v>9</v>
      </c>
      <c r="K39" s="47">
        <v>9</v>
      </c>
      <c r="L39" s="47">
        <v>9</v>
      </c>
      <c r="M39" s="47">
        <v>9</v>
      </c>
      <c r="N39" s="48">
        <f t="shared" si="11"/>
        <v>108</v>
      </c>
    </row>
    <row r="40" spans="1:14" x14ac:dyDescent="0.25">
      <c r="A40" s="50" t="s">
        <v>2</v>
      </c>
      <c r="B40" s="51">
        <f>SUM(B26:B39)</f>
        <v>878499</v>
      </c>
      <c r="C40" s="51">
        <f t="shared" ref="C40:N40" si="12">SUM(C26:C39)</f>
        <v>878576</v>
      </c>
      <c r="D40" s="51">
        <f t="shared" si="12"/>
        <v>878599</v>
      </c>
      <c r="E40" s="51">
        <f t="shared" si="12"/>
        <v>878619</v>
      </c>
      <c r="F40" s="51">
        <f t="shared" si="12"/>
        <v>878639</v>
      </c>
      <c r="G40" s="51">
        <f t="shared" si="12"/>
        <v>878654</v>
      </c>
      <c r="H40" s="51">
        <f t="shared" si="12"/>
        <v>878671</v>
      </c>
      <c r="I40" s="51">
        <f t="shared" si="12"/>
        <v>878684</v>
      </c>
      <c r="J40" s="51">
        <f t="shared" si="12"/>
        <v>878703</v>
      </c>
      <c r="K40" s="51">
        <f t="shared" si="12"/>
        <v>878722</v>
      </c>
      <c r="L40" s="51">
        <f t="shared" si="12"/>
        <v>878740</v>
      </c>
      <c r="M40" s="51">
        <f t="shared" si="12"/>
        <v>878761</v>
      </c>
      <c r="N40" s="51">
        <f t="shared" si="12"/>
        <v>10543867</v>
      </c>
    </row>
    <row r="42" spans="1:14" x14ac:dyDescent="0.25">
      <c r="A42" s="53" t="s">
        <v>65</v>
      </c>
      <c r="B42" s="40"/>
      <c r="C42" s="40"/>
      <c r="D42" s="40"/>
      <c r="E42" s="40"/>
      <c r="F42" s="41"/>
      <c r="G42" s="41"/>
      <c r="H42" s="41"/>
      <c r="I42" s="41"/>
      <c r="J42" s="41"/>
      <c r="K42" s="41"/>
      <c r="L42" s="41"/>
      <c r="M42" s="41"/>
      <c r="N42" s="41"/>
    </row>
    <row r="43" spans="1:14" x14ac:dyDescent="0.25">
      <c r="A43" s="43" t="s">
        <v>52</v>
      </c>
      <c r="B43" s="45">
        <f>B25</f>
        <v>45231</v>
      </c>
      <c r="C43" s="45">
        <f>C25</f>
        <v>45261</v>
      </c>
      <c r="D43" s="45">
        <f>D25</f>
        <v>45292</v>
      </c>
      <c r="E43" s="45">
        <f>E25</f>
        <v>45323</v>
      </c>
      <c r="F43" s="45">
        <f>F25</f>
        <v>45352</v>
      </c>
      <c r="G43" s="45">
        <f t="shared" ref="G43:M43" si="13">G25</f>
        <v>45383</v>
      </c>
      <c r="H43" s="45">
        <f t="shared" si="13"/>
        <v>45413</v>
      </c>
      <c r="I43" s="45">
        <f t="shared" si="13"/>
        <v>45444</v>
      </c>
      <c r="J43" s="45">
        <f t="shared" si="13"/>
        <v>45474</v>
      </c>
      <c r="K43" s="45">
        <f t="shared" si="13"/>
        <v>45505</v>
      </c>
      <c r="L43" s="45">
        <f t="shared" si="13"/>
        <v>45536</v>
      </c>
      <c r="M43" s="45">
        <f t="shared" si="13"/>
        <v>45566</v>
      </c>
      <c r="N43" s="46" t="s">
        <v>2</v>
      </c>
    </row>
    <row r="44" spans="1:14" x14ac:dyDescent="0.25">
      <c r="A44" s="42">
        <v>16</v>
      </c>
      <c r="B44" s="48">
        <f>B8/19</f>
        <v>30.684210526315791</v>
      </c>
      <c r="C44" s="48">
        <f t="shared" ref="C44:M44" si="14">C8/19</f>
        <v>30.684210526315791</v>
      </c>
      <c r="D44" s="48">
        <f t="shared" si="14"/>
        <v>30.684210526315791</v>
      </c>
      <c r="E44" s="48">
        <f t="shared" si="14"/>
        <v>30.684210526315791</v>
      </c>
      <c r="F44" s="48">
        <f t="shared" si="14"/>
        <v>30.684210526315791</v>
      </c>
      <c r="G44" s="48">
        <f t="shared" si="14"/>
        <v>30.684210526315791</v>
      </c>
      <c r="H44" s="48">
        <f t="shared" si="14"/>
        <v>30.684210526315791</v>
      </c>
      <c r="I44" s="48">
        <f t="shared" si="14"/>
        <v>30.684210526315791</v>
      </c>
      <c r="J44" s="48">
        <f t="shared" si="14"/>
        <v>30.684210526315791</v>
      </c>
      <c r="K44" s="48">
        <f t="shared" si="14"/>
        <v>30.684210526315791</v>
      </c>
      <c r="L44" s="48">
        <f t="shared" si="14"/>
        <v>30.684210526315791</v>
      </c>
      <c r="M44" s="48">
        <f t="shared" si="14"/>
        <v>30.684210526315791</v>
      </c>
      <c r="N44" s="48">
        <f>SUM(B44:M44)</f>
        <v>368.21052631578942</v>
      </c>
    </row>
    <row r="46" spans="1:14" x14ac:dyDescent="0.25">
      <c r="A46" s="39" t="s">
        <v>101</v>
      </c>
    </row>
    <row r="47" spans="1:14" ht="17.25" x14ac:dyDescent="0.25">
      <c r="A47" s="39" t="s">
        <v>249</v>
      </c>
    </row>
  </sheetData>
  <mergeCells count="4">
    <mergeCell ref="A1:N1"/>
    <mergeCell ref="A2:N2"/>
    <mergeCell ref="A3:N3"/>
    <mergeCell ref="A4:N4"/>
  </mergeCells>
  <printOptions horizontalCentered="1"/>
  <pageMargins left="0.7" right="0.7" top="0.75" bottom="0.75" header="0.3" footer="0.3"/>
  <pageSetup scale="69" orientation="landscape" blackAndWhite="1" r:id="rId1"/>
  <headerFooter>
    <oddFooter>&amp;L&amp;F 
&amp;A&amp;C&amp;P&amp;R&amp;D</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5"/>
  <sheetViews>
    <sheetView zoomScale="90" zoomScaleNormal="90" workbookViewId="0">
      <selection activeCell="E31" sqref="E31"/>
    </sheetView>
  </sheetViews>
  <sheetFormatPr defaultColWidth="9.140625" defaultRowHeight="15" x14ac:dyDescent="0.25"/>
  <cols>
    <col min="1" max="1" width="4.42578125" style="1" customWidth="1"/>
    <col min="2" max="2" width="38.28515625" style="1" customWidth="1"/>
    <col min="3" max="3" width="13.28515625" style="1" customWidth="1"/>
    <col min="4" max="4" width="15.42578125" style="1" customWidth="1"/>
    <col min="5" max="5" width="14.5703125" style="1" customWidth="1"/>
    <col min="6" max="6" width="15.85546875" style="1" customWidth="1"/>
    <col min="7" max="8" width="12.42578125" style="1" customWidth="1"/>
    <col min="9" max="16384" width="9.140625" style="1"/>
  </cols>
  <sheetData>
    <row r="1" spans="1:9" x14ac:dyDescent="0.25">
      <c r="A1" s="210" t="s">
        <v>0</v>
      </c>
      <c r="B1" s="210"/>
      <c r="C1" s="210"/>
      <c r="D1" s="210"/>
      <c r="E1" s="210"/>
      <c r="F1" s="210"/>
      <c r="G1" s="210"/>
      <c r="H1" s="210"/>
    </row>
    <row r="2" spans="1:9" x14ac:dyDescent="0.25">
      <c r="A2" s="2" t="s">
        <v>39</v>
      </c>
      <c r="B2" s="2"/>
      <c r="C2" s="2"/>
      <c r="D2" s="2"/>
      <c r="E2" s="2"/>
      <c r="F2" s="2"/>
      <c r="G2" s="2"/>
      <c r="H2" s="2"/>
    </row>
    <row r="3" spans="1:9" x14ac:dyDescent="0.25">
      <c r="A3" s="208" t="s">
        <v>90</v>
      </c>
      <c r="B3" s="210"/>
      <c r="C3" s="210"/>
      <c r="D3" s="210"/>
      <c r="E3" s="210"/>
      <c r="F3" s="210"/>
      <c r="G3" s="210"/>
      <c r="H3" s="210"/>
    </row>
    <row r="4" spans="1:9" x14ac:dyDescent="0.25">
      <c r="A4" s="208" t="s">
        <v>106</v>
      </c>
      <c r="B4" s="210"/>
      <c r="C4" s="210"/>
      <c r="D4" s="210"/>
      <c r="E4" s="210"/>
      <c r="F4" s="210"/>
      <c r="G4" s="210"/>
      <c r="H4" s="210"/>
    </row>
    <row r="5" spans="1:9" ht="13.5" customHeight="1" x14ac:dyDescent="0.25">
      <c r="E5" s="4"/>
      <c r="F5" s="4"/>
      <c r="G5" s="4"/>
      <c r="H5" s="4"/>
    </row>
    <row r="6" spans="1:9" ht="13.5" customHeight="1" x14ac:dyDescent="0.25">
      <c r="E6" s="4"/>
      <c r="F6" s="59" t="s">
        <v>93</v>
      </c>
      <c r="G6" s="59" t="s">
        <v>66</v>
      </c>
      <c r="H6" s="59" t="s">
        <v>66</v>
      </c>
    </row>
    <row r="7" spans="1:9" ht="17.25" x14ac:dyDescent="0.25">
      <c r="B7" s="4"/>
      <c r="C7" s="4"/>
      <c r="D7" s="23" t="s">
        <v>59</v>
      </c>
      <c r="E7" s="3"/>
      <c r="F7" s="59" t="s">
        <v>4</v>
      </c>
      <c r="G7" s="4" t="s">
        <v>5</v>
      </c>
      <c r="H7" s="4" t="s">
        <v>5</v>
      </c>
    </row>
    <row r="8" spans="1:9" x14ac:dyDescent="0.25">
      <c r="A8" s="5" t="s">
        <v>1</v>
      </c>
      <c r="B8" s="4"/>
      <c r="C8" s="4"/>
      <c r="D8" s="94" t="s">
        <v>107</v>
      </c>
      <c r="E8" s="3" t="s">
        <v>3</v>
      </c>
      <c r="F8" s="59" t="s">
        <v>10</v>
      </c>
      <c r="G8" s="23" t="s">
        <v>95</v>
      </c>
      <c r="H8" s="23" t="s">
        <v>11</v>
      </c>
    </row>
    <row r="9" spans="1:9" x14ac:dyDescent="0.25">
      <c r="A9" s="6" t="s">
        <v>6</v>
      </c>
      <c r="B9" s="6" t="s">
        <v>7</v>
      </c>
      <c r="C9" s="6" t="s">
        <v>8</v>
      </c>
      <c r="D9" s="87" t="s">
        <v>157</v>
      </c>
      <c r="E9" s="6" t="s">
        <v>9</v>
      </c>
      <c r="F9" s="60" t="s">
        <v>234</v>
      </c>
      <c r="G9" s="60" t="s">
        <v>234</v>
      </c>
      <c r="H9" s="60" t="s">
        <v>234</v>
      </c>
    </row>
    <row r="10" spans="1:9" x14ac:dyDescent="0.25">
      <c r="B10" s="5" t="s">
        <v>12</v>
      </c>
      <c r="C10" s="5" t="s">
        <v>13</v>
      </c>
      <c r="D10" s="7" t="s">
        <v>14</v>
      </c>
      <c r="E10" s="23" t="s">
        <v>15</v>
      </c>
      <c r="F10" s="7" t="s">
        <v>16</v>
      </c>
      <c r="G10" s="23" t="s">
        <v>17</v>
      </c>
      <c r="H10" s="24" t="s">
        <v>18</v>
      </c>
      <c r="I10" s="3"/>
    </row>
    <row r="11" spans="1:9" x14ac:dyDescent="0.25">
      <c r="A11" s="5">
        <v>1</v>
      </c>
      <c r="B11" s="1" t="s">
        <v>19</v>
      </c>
      <c r="C11" s="5">
        <v>23</v>
      </c>
      <c r="D11" s="8">
        <f>SUM('CCA Therm Forecast'!N81:N82)</f>
        <v>558669681</v>
      </c>
      <c r="E11" s="9">
        <f>D11/$D$24</f>
        <v>0.55840917456746941</v>
      </c>
      <c r="F11" s="10">
        <f>$F$26*E11</f>
        <v>92546704.608612224</v>
      </c>
      <c r="G11" s="11">
        <f>ROUND(F11/D11,5)</f>
        <v>0.16566</v>
      </c>
      <c r="H11" s="12"/>
    </row>
    <row r="12" spans="1:9" x14ac:dyDescent="0.25">
      <c r="A12" s="5">
        <f>A11+1</f>
        <v>2</v>
      </c>
      <c r="B12" s="1" t="s">
        <v>20</v>
      </c>
      <c r="C12" s="5">
        <v>16</v>
      </c>
      <c r="D12" s="8">
        <f>'CCA Therm Forecast'!N80</f>
        <v>6996</v>
      </c>
      <c r="E12" s="57">
        <f t="shared" ref="E12:E23" si="0">D12/$D$24</f>
        <v>6.99273778072452E-6</v>
      </c>
      <c r="F12" s="10">
        <f t="shared" ref="F12:F23" si="1">$F$26*E12</f>
        <v>1158.9258688299053</v>
      </c>
      <c r="G12" s="11">
        <f t="shared" ref="G12:G23" si="2">ROUND(F12/D12,5)</f>
        <v>0.16566</v>
      </c>
      <c r="H12" s="12">
        <f>ROUND(G12*19,2)</f>
        <v>3.15</v>
      </c>
    </row>
    <row r="13" spans="1:9" x14ac:dyDescent="0.25">
      <c r="A13" s="5">
        <f t="shared" ref="A13:A26" si="3">A12+1</f>
        <v>3</v>
      </c>
      <c r="B13" s="1" t="s">
        <v>21</v>
      </c>
      <c r="C13" s="5">
        <v>31</v>
      </c>
      <c r="D13" s="8">
        <f>'CCA Therm Forecast'!N83</f>
        <v>227188265.77152669</v>
      </c>
      <c r="E13" s="9">
        <f t="shared" si="0"/>
        <v>0.22708232838734105</v>
      </c>
      <c r="F13" s="10">
        <f t="shared" si="1"/>
        <v>37634985.462725267</v>
      </c>
      <c r="G13" s="11">
        <f t="shared" si="2"/>
        <v>0.16566</v>
      </c>
      <c r="H13" s="11"/>
    </row>
    <row r="14" spans="1:9" x14ac:dyDescent="0.25">
      <c r="A14" s="5">
        <f t="shared" si="3"/>
        <v>4</v>
      </c>
      <c r="B14" s="1" t="s">
        <v>22</v>
      </c>
      <c r="C14" s="5">
        <v>41</v>
      </c>
      <c r="D14" s="8">
        <f>'CCA Therm Forecast'!N84</f>
        <v>61975078.462204017</v>
      </c>
      <c r="E14" s="9">
        <f t="shared" si="0"/>
        <v>6.1946179620643298E-2</v>
      </c>
      <c r="F14" s="10">
        <f t="shared" si="1"/>
        <v>10266512.528961025</v>
      </c>
      <c r="G14" s="11">
        <f t="shared" si="2"/>
        <v>0.16566</v>
      </c>
      <c r="H14" s="11"/>
    </row>
    <row r="15" spans="1:9" x14ac:dyDescent="0.25">
      <c r="A15" s="5">
        <f t="shared" si="3"/>
        <v>5</v>
      </c>
      <c r="B15" s="1" t="s">
        <v>23</v>
      </c>
      <c r="C15" s="5">
        <v>85</v>
      </c>
      <c r="D15" s="8">
        <f>'CCA Therm Forecast'!N85</f>
        <v>14409118.879922818</v>
      </c>
      <c r="E15" s="9">
        <f t="shared" si="0"/>
        <v>1.4402399939763761E-2</v>
      </c>
      <c r="F15" s="10">
        <f t="shared" si="1"/>
        <v>2386949.7737261211</v>
      </c>
      <c r="G15" s="11">
        <f t="shared" si="2"/>
        <v>0.16566</v>
      </c>
      <c r="H15" s="11"/>
    </row>
    <row r="16" spans="1:9" x14ac:dyDescent="0.25">
      <c r="A16" s="5">
        <f t="shared" si="3"/>
        <v>6</v>
      </c>
      <c r="B16" s="1" t="s">
        <v>24</v>
      </c>
      <c r="C16" s="5">
        <v>86</v>
      </c>
      <c r="D16" s="8">
        <f>'CCA Therm Forecast'!N86</f>
        <v>4915802</v>
      </c>
      <c r="E16" s="9">
        <f t="shared" si="0"/>
        <v>4.9135097724358427E-3</v>
      </c>
      <c r="F16" s="10">
        <f t="shared" si="1"/>
        <v>814329.63176755083</v>
      </c>
      <c r="G16" s="11">
        <f t="shared" si="2"/>
        <v>0.16566</v>
      </c>
      <c r="H16" s="11"/>
    </row>
    <row r="17" spans="1:8" x14ac:dyDescent="0.25">
      <c r="A17" s="5">
        <f t="shared" si="3"/>
        <v>7</v>
      </c>
      <c r="B17" s="1" t="s">
        <v>25</v>
      </c>
      <c r="C17" s="5">
        <v>87</v>
      </c>
      <c r="D17" s="8">
        <f>'CCA Therm Forecast'!N87</f>
        <v>1561022.556906593</v>
      </c>
      <c r="E17" s="9">
        <f t="shared" si="0"/>
        <v>1.560294655552305E-3</v>
      </c>
      <c r="F17" s="10">
        <f t="shared" si="1"/>
        <v>258591.97012951024</v>
      </c>
      <c r="G17" s="11">
        <f t="shared" si="2"/>
        <v>0.16566</v>
      </c>
      <c r="H17" s="11"/>
    </row>
    <row r="18" spans="1:8" x14ac:dyDescent="0.25">
      <c r="A18" s="5">
        <f t="shared" si="3"/>
        <v>8</v>
      </c>
      <c r="B18" s="1" t="s">
        <v>26</v>
      </c>
      <c r="C18" s="5" t="s">
        <v>27</v>
      </c>
      <c r="D18" s="8">
        <f>'CCA Therm Forecast'!N88</f>
        <v>952</v>
      </c>
      <c r="E18" s="9">
        <f t="shared" si="0"/>
        <v>9.5155608451254193E-7</v>
      </c>
      <c r="F18" s="10">
        <f t="shared" si="1"/>
        <v>157.70403475215406</v>
      </c>
      <c r="G18" s="11">
        <f t="shared" si="2"/>
        <v>0.16566</v>
      </c>
      <c r="H18" s="11"/>
    </row>
    <row r="19" spans="1:8" x14ac:dyDescent="0.25">
      <c r="A19" s="5">
        <f t="shared" si="3"/>
        <v>9</v>
      </c>
      <c r="B19" s="1" t="s">
        <v>28</v>
      </c>
      <c r="C19" s="5" t="s">
        <v>29</v>
      </c>
      <c r="D19" s="8">
        <f>'CCA Therm Forecast'!N89</f>
        <v>21384289</v>
      </c>
      <c r="E19" s="9">
        <f t="shared" si="0"/>
        <v>2.1374317553492249E-2</v>
      </c>
      <c r="F19" s="10">
        <f t="shared" si="1"/>
        <v>3542425.0584097751</v>
      </c>
      <c r="G19" s="11">
        <f t="shared" si="2"/>
        <v>0.16566</v>
      </c>
      <c r="H19" s="11"/>
    </row>
    <row r="20" spans="1:8" x14ac:dyDescent="0.25">
      <c r="A20" s="5">
        <f t="shared" si="3"/>
        <v>10</v>
      </c>
      <c r="B20" s="1" t="s">
        <v>30</v>
      </c>
      <c r="C20" s="5" t="s">
        <v>31</v>
      </c>
      <c r="D20" s="8">
        <f>'CCA Therm Forecast'!N90</f>
        <v>58549446.024362169</v>
      </c>
      <c r="E20" s="9">
        <f t="shared" si="0"/>
        <v>5.8522144547605549E-2</v>
      </c>
      <c r="F20" s="10">
        <f t="shared" si="1"/>
        <v>9699037.679144308</v>
      </c>
      <c r="G20" s="11">
        <f t="shared" si="2"/>
        <v>0.16566</v>
      </c>
      <c r="H20" s="11"/>
    </row>
    <row r="21" spans="1:8" x14ac:dyDescent="0.25">
      <c r="A21" s="5">
        <f t="shared" si="3"/>
        <v>11</v>
      </c>
      <c r="B21" s="1" t="s">
        <v>32</v>
      </c>
      <c r="C21" s="5" t="s">
        <v>33</v>
      </c>
      <c r="D21" s="8">
        <f>'CCA Therm Forecast'!N91</f>
        <v>1197109</v>
      </c>
      <c r="E21" s="9">
        <f t="shared" si="0"/>
        <v>1.1965507907297527E-3</v>
      </c>
      <c r="F21" s="10">
        <f t="shared" si="1"/>
        <v>198307.68838037437</v>
      </c>
      <c r="G21" s="11">
        <f t="shared" si="2"/>
        <v>0.16566</v>
      </c>
      <c r="H21" s="11"/>
    </row>
    <row r="22" spans="1:8" x14ac:dyDescent="0.25">
      <c r="A22" s="5">
        <f t="shared" si="3"/>
        <v>12</v>
      </c>
      <c r="B22" s="1" t="s">
        <v>34</v>
      </c>
      <c r="C22" s="5" t="s">
        <v>35</v>
      </c>
      <c r="D22" s="8">
        <f>'CCA Therm Forecast'!N92</f>
        <v>37964088.298294812</v>
      </c>
      <c r="E22" s="9">
        <f t="shared" si="0"/>
        <v>3.7946385728165777E-2</v>
      </c>
      <c r="F22" s="10">
        <f t="shared" si="1"/>
        <v>6288959.9793362711</v>
      </c>
      <c r="G22" s="11">
        <f t="shared" si="2"/>
        <v>0.16566</v>
      </c>
      <c r="H22" s="11"/>
    </row>
    <row r="23" spans="1:8" x14ac:dyDescent="0.25">
      <c r="A23" s="5">
        <f t="shared" si="3"/>
        <v>13</v>
      </c>
      <c r="B23" s="1" t="s">
        <v>36</v>
      </c>
      <c r="D23" s="8">
        <f>'CCA Therm Forecast'!N93</f>
        <v>12644666.322782926</v>
      </c>
      <c r="E23" s="9">
        <f t="shared" si="0"/>
        <v>1.2638770142935843E-2</v>
      </c>
      <c r="F23" s="10">
        <f t="shared" si="1"/>
        <v>2094658.505459612</v>
      </c>
      <c r="G23" s="11">
        <f t="shared" si="2"/>
        <v>0.16566</v>
      </c>
      <c r="H23" s="11"/>
    </row>
    <row r="24" spans="1:8" x14ac:dyDescent="0.25">
      <c r="A24" s="5">
        <f t="shared" si="3"/>
        <v>14</v>
      </c>
      <c r="B24" s="1" t="s">
        <v>2</v>
      </c>
      <c r="D24" s="20">
        <f>SUM(D11:D23)</f>
        <v>1000466515.316</v>
      </c>
      <c r="E24" s="21">
        <f>SUM(E11:E23)</f>
        <v>1.0000000000000002</v>
      </c>
      <c r="F24" s="13">
        <f>SUM(F11:F23)</f>
        <v>165732779.51655561</v>
      </c>
      <c r="G24" s="14"/>
      <c r="H24" s="14"/>
    </row>
    <row r="25" spans="1:8" x14ac:dyDescent="0.25">
      <c r="A25" s="5">
        <f t="shared" si="3"/>
        <v>15</v>
      </c>
      <c r="D25" s="15"/>
    </row>
    <row r="26" spans="1:8" x14ac:dyDescent="0.25">
      <c r="A26" s="5">
        <f t="shared" si="3"/>
        <v>16</v>
      </c>
      <c r="B26" s="1" t="s">
        <v>37</v>
      </c>
      <c r="E26" s="16"/>
      <c r="F26" s="86">
        <f>'Rev Req'!E14</f>
        <v>165732779.51655561</v>
      </c>
      <c r="G26" s="17"/>
      <c r="H26" s="17"/>
    </row>
    <row r="27" spans="1:8" x14ac:dyDescent="0.25">
      <c r="A27" s="5"/>
      <c r="E27" s="16"/>
      <c r="F27" s="16"/>
      <c r="G27" s="10"/>
      <c r="H27" s="10"/>
    </row>
    <row r="28" spans="1:8" ht="17.25" x14ac:dyDescent="0.25">
      <c r="A28" s="5"/>
      <c r="B28" s="39" t="s">
        <v>108</v>
      </c>
      <c r="D28" s="5"/>
      <c r="E28" s="16"/>
      <c r="F28" s="16"/>
      <c r="G28" s="10"/>
      <c r="H28" s="10"/>
    </row>
    <row r="29" spans="1:8" x14ac:dyDescent="0.25">
      <c r="D29" s="5"/>
    </row>
    <row r="30" spans="1:8" x14ac:dyDescent="0.25">
      <c r="D30" s="22"/>
    </row>
    <row r="31" spans="1:8" x14ac:dyDescent="0.25">
      <c r="D31" s="18"/>
    </row>
    <row r="32" spans="1:8" x14ac:dyDescent="0.25">
      <c r="D32" s="18"/>
      <c r="F32" s="10"/>
    </row>
    <row r="33" spans="4:4" x14ac:dyDescent="0.25">
      <c r="D33" s="18"/>
    </row>
    <row r="34" spans="4:4" x14ac:dyDescent="0.25">
      <c r="D34" s="18"/>
    </row>
    <row r="35" spans="4:4" x14ac:dyDescent="0.25">
      <c r="D35" s="19"/>
    </row>
  </sheetData>
  <mergeCells count="3">
    <mergeCell ref="A1:H1"/>
    <mergeCell ref="A3:H3"/>
    <mergeCell ref="A4:H4"/>
  </mergeCells>
  <printOptions horizontalCentered="1"/>
  <pageMargins left="0.45" right="0.45" top="0.75" bottom="0.75" header="0.3" footer="0.3"/>
  <pageSetup scale="97" orientation="landscape" blackAndWhite="1" r:id="rId1"/>
  <headerFooter>
    <oddFooter>&amp;L&amp;F 
&amp;A&amp;C&amp;P&amp;R&amp;D</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7"/>
  <sheetViews>
    <sheetView zoomScale="90" zoomScaleNormal="90" workbookViewId="0">
      <selection activeCell="E22" sqref="E22"/>
    </sheetView>
  </sheetViews>
  <sheetFormatPr defaultColWidth="9.140625" defaultRowHeight="15" x14ac:dyDescent="0.25"/>
  <cols>
    <col min="1" max="1" width="4.42578125" style="1" customWidth="1"/>
    <col min="2" max="2" width="38.28515625" style="1" customWidth="1"/>
    <col min="3" max="3" width="13.28515625" style="1" customWidth="1"/>
    <col min="4" max="4" width="15.28515625" style="1" customWidth="1"/>
    <col min="5" max="5" width="15.85546875" style="1" customWidth="1"/>
    <col min="6" max="6" width="12.42578125" style="1" customWidth="1"/>
    <col min="7" max="16384" width="9.140625" style="1"/>
  </cols>
  <sheetData>
    <row r="1" spans="1:15" x14ac:dyDescent="0.25">
      <c r="A1" s="210" t="s">
        <v>0</v>
      </c>
      <c r="B1" s="210"/>
      <c r="C1" s="210"/>
      <c r="D1" s="210"/>
      <c r="E1" s="210"/>
      <c r="F1" s="210"/>
    </row>
    <row r="2" spans="1:15" x14ac:dyDescent="0.25">
      <c r="A2" s="2" t="str">
        <f>'Sch. 111 Charge Rates'!A2</f>
        <v>2023 Gas Schedule 111 Greenhouse Gas Emissions Cap and Invest Adjustment Filing</v>
      </c>
      <c r="B2" s="2"/>
      <c r="C2" s="2"/>
      <c r="D2" s="2"/>
      <c r="E2" s="2"/>
      <c r="F2" s="2"/>
    </row>
    <row r="3" spans="1:15" x14ac:dyDescent="0.25">
      <c r="A3" s="208" t="s">
        <v>91</v>
      </c>
      <c r="B3" s="210"/>
      <c r="C3" s="210"/>
      <c r="D3" s="210"/>
      <c r="E3" s="210"/>
      <c r="F3" s="210"/>
    </row>
    <row r="4" spans="1:15" x14ac:dyDescent="0.25">
      <c r="A4" s="210" t="str">
        <f>'Sch. 111 Charge Rates'!A4:H4</f>
        <v>Proposed Rates Effective November 1, 2023</v>
      </c>
      <c r="B4" s="210"/>
      <c r="C4" s="210"/>
      <c r="D4" s="210"/>
      <c r="E4" s="210"/>
      <c r="F4" s="210"/>
    </row>
    <row r="5" spans="1:15" ht="13.5" customHeight="1" x14ac:dyDescent="0.25">
      <c r="E5" s="4"/>
      <c r="F5" s="4"/>
    </row>
    <row r="6" spans="1:15" ht="13.5" customHeight="1" x14ac:dyDescent="0.25">
      <c r="E6" s="59" t="s">
        <v>93</v>
      </c>
      <c r="F6" s="59" t="s">
        <v>66</v>
      </c>
    </row>
    <row r="7" spans="1:15" ht="17.25" x14ac:dyDescent="0.25">
      <c r="B7" s="4"/>
      <c r="C7" s="4"/>
      <c r="D7" s="23" t="s">
        <v>69</v>
      </c>
      <c r="E7" s="59" t="s">
        <v>4</v>
      </c>
      <c r="F7" s="4" t="s">
        <v>5</v>
      </c>
    </row>
    <row r="8" spans="1:15" x14ac:dyDescent="0.25">
      <c r="A8" s="55" t="s">
        <v>1</v>
      </c>
      <c r="B8" s="4"/>
      <c r="C8" s="4"/>
      <c r="D8" s="91" t="str">
        <f>'Sch. 111 Charge Rates'!D8</f>
        <v>Nov. 2023 -</v>
      </c>
      <c r="E8" s="59" t="s">
        <v>10</v>
      </c>
      <c r="F8" s="23" t="s">
        <v>68</v>
      </c>
    </row>
    <row r="9" spans="1:15" x14ac:dyDescent="0.25">
      <c r="A9" s="6" t="s">
        <v>6</v>
      </c>
      <c r="B9" s="6" t="s">
        <v>7</v>
      </c>
      <c r="C9" s="6" t="s">
        <v>8</v>
      </c>
      <c r="D9" s="46" t="str">
        <f>'Sch. 111 Charge Rates'!D9</f>
        <v>Oct. 2024</v>
      </c>
      <c r="E9" s="60" t="s">
        <v>234</v>
      </c>
      <c r="F9" s="60" t="s">
        <v>234</v>
      </c>
    </row>
    <row r="10" spans="1:15" x14ac:dyDescent="0.25">
      <c r="B10" s="55" t="s">
        <v>12</v>
      </c>
      <c r="C10" s="55" t="s">
        <v>13</v>
      </c>
      <c r="D10" s="7" t="s">
        <v>14</v>
      </c>
      <c r="E10" s="23" t="s">
        <v>15</v>
      </c>
      <c r="F10" s="7" t="s">
        <v>16</v>
      </c>
      <c r="G10" s="3"/>
    </row>
    <row r="11" spans="1:15" x14ac:dyDescent="0.25">
      <c r="A11" s="55">
        <v>1</v>
      </c>
      <c r="B11" s="39" t="s">
        <v>60</v>
      </c>
      <c r="C11" s="55">
        <v>23</v>
      </c>
      <c r="D11" s="8">
        <f>'Low Income Forecast'!N9</f>
        <v>52127398.712846421</v>
      </c>
      <c r="E11" s="10">
        <f>D11*F11</f>
        <v>-8635424.8707701378</v>
      </c>
      <c r="F11" s="71">
        <f>-'Sch. 111 Charge Rates'!G11</f>
        <v>-0.16566</v>
      </c>
    </row>
    <row r="12" spans="1:15" x14ac:dyDescent="0.25">
      <c r="D12" s="22"/>
    </row>
    <row r="13" spans="1:15" ht="17.25" customHeight="1" x14ac:dyDescent="0.25">
      <c r="B13" s="211" t="s">
        <v>103</v>
      </c>
      <c r="C13" s="211"/>
      <c r="D13" s="211"/>
      <c r="E13" s="211"/>
      <c r="F13" s="211"/>
      <c r="G13" s="95"/>
      <c r="H13" s="95"/>
      <c r="I13" s="95"/>
      <c r="J13" s="95"/>
      <c r="K13" s="95"/>
      <c r="L13" s="95"/>
      <c r="M13" s="95"/>
      <c r="N13" s="95"/>
      <c r="O13" s="95"/>
    </row>
    <row r="14" spans="1:15" x14ac:dyDescent="0.25">
      <c r="B14" s="211"/>
      <c r="C14" s="211"/>
      <c r="D14" s="211"/>
      <c r="E14" s="211"/>
      <c r="F14" s="211"/>
      <c r="G14" s="95"/>
      <c r="H14" s="95"/>
      <c r="I14" s="95"/>
      <c r="J14" s="95"/>
      <c r="K14" s="95"/>
      <c r="L14" s="95"/>
      <c r="M14" s="95"/>
      <c r="N14" s="95"/>
      <c r="O14" s="95"/>
    </row>
    <row r="15" spans="1:15" x14ac:dyDescent="0.25">
      <c r="B15" s="211"/>
      <c r="C15" s="211"/>
      <c r="D15" s="211"/>
      <c r="E15" s="211"/>
      <c r="F15" s="211"/>
      <c r="G15" s="95"/>
      <c r="H15" s="95"/>
      <c r="I15" s="95"/>
      <c r="J15" s="95"/>
      <c r="K15" s="95"/>
      <c r="L15" s="95"/>
      <c r="M15" s="95"/>
      <c r="N15" s="95"/>
      <c r="O15" s="95"/>
    </row>
    <row r="16" spans="1:15" x14ac:dyDescent="0.25">
      <c r="B16" s="211"/>
      <c r="C16" s="211"/>
      <c r="D16" s="211"/>
      <c r="E16" s="211"/>
      <c r="F16" s="211"/>
    </row>
    <row r="17" spans="2:6" x14ac:dyDescent="0.25">
      <c r="B17" s="211"/>
      <c r="C17" s="211"/>
      <c r="D17" s="211"/>
      <c r="E17" s="211"/>
      <c r="F17" s="211"/>
    </row>
  </sheetData>
  <mergeCells count="4">
    <mergeCell ref="A1:F1"/>
    <mergeCell ref="A3:F3"/>
    <mergeCell ref="A4:F4"/>
    <mergeCell ref="B13:F17"/>
  </mergeCells>
  <printOptions horizontalCentered="1"/>
  <pageMargins left="0.45" right="0.45" top="0.75" bottom="0.75" header="0.3" footer="0.3"/>
  <pageSetup orientation="landscape" blackAndWhite="1" r:id="rId1"/>
  <headerFooter>
    <oddFooter>&amp;L&amp;F 
&amp;A&amp;C&amp;P&amp;R&amp;D</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pageSetUpPr fitToPage="1"/>
  </sheetPr>
  <dimension ref="A1:K35"/>
  <sheetViews>
    <sheetView zoomScale="90" zoomScaleNormal="90" workbookViewId="0">
      <selection activeCell="H29" sqref="H29"/>
    </sheetView>
  </sheetViews>
  <sheetFormatPr defaultColWidth="9.140625" defaultRowHeight="15" x14ac:dyDescent="0.25"/>
  <cols>
    <col min="1" max="1" width="4.42578125" style="39" customWidth="1"/>
    <col min="2" max="2" width="38.28515625" style="39" customWidth="1"/>
    <col min="3" max="3" width="13.42578125" style="39" customWidth="1"/>
    <col min="4" max="4" width="15.42578125" style="39" customWidth="1"/>
    <col min="5" max="5" width="14.5703125" style="39" customWidth="1"/>
    <col min="6" max="6" width="16.42578125" style="39" bestFit="1" customWidth="1"/>
    <col min="7" max="7" width="13.42578125" style="39" customWidth="1"/>
    <col min="8" max="8" width="14.42578125" style="39" bestFit="1" customWidth="1"/>
    <col min="9" max="16384" width="9.140625" style="39"/>
  </cols>
  <sheetData>
    <row r="1" spans="1:11" x14ac:dyDescent="0.25">
      <c r="A1" s="208" t="s">
        <v>0</v>
      </c>
      <c r="B1" s="208"/>
      <c r="C1" s="208"/>
      <c r="D1" s="208"/>
      <c r="E1" s="208"/>
      <c r="F1" s="208"/>
      <c r="G1" s="208"/>
      <c r="H1" s="208"/>
    </row>
    <row r="2" spans="1:11" x14ac:dyDescent="0.25">
      <c r="A2" s="58" t="str">
        <f>'Sch. 111 Charge Rates'!A2</f>
        <v>2023 Gas Schedule 111 Greenhouse Gas Emissions Cap and Invest Adjustment Filing</v>
      </c>
      <c r="B2" s="58"/>
      <c r="C2" s="58"/>
      <c r="D2" s="58"/>
      <c r="E2" s="58"/>
      <c r="F2" s="58"/>
      <c r="G2" s="58"/>
      <c r="H2" s="58"/>
    </row>
    <row r="3" spans="1:11" x14ac:dyDescent="0.25">
      <c r="A3" s="208" t="s">
        <v>92</v>
      </c>
      <c r="B3" s="208"/>
      <c r="C3" s="208"/>
      <c r="D3" s="208"/>
      <c r="E3" s="208"/>
      <c r="F3" s="208"/>
      <c r="G3" s="208"/>
      <c r="H3" s="208"/>
    </row>
    <row r="4" spans="1:11" x14ac:dyDescent="0.25">
      <c r="A4" s="208" t="str">
        <f>'Sch. 111 Charge Rates'!A4:H4</f>
        <v>Proposed Rates Effective November 1, 2023</v>
      </c>
      <c r="B4" s="208"/>
      <c r="C4" s="208"/>
      <c r="D4" s="208"/>
      <c r="E4" s="208"/>
      <c r="F4" s="208"/>
      <c r="G4" s="208"/>
      <c r="H4" s="208"/>
    </row>
    <row r="5" spans="1:11" x14ac:dyDescent="0.25">
      <c r="A5" s="90"/>
      <c r="B5" s="90"/>
      <c r="C5" s="90"/>
      <c r="D5" s="90"/>
      <c r="E5" s="90"/>
      <c r="F5" s="90"/>
      <c r="G5" s="90"/>
      <c r="H5" s="90"/>
    </row>
    <row r="6" spans="1:11" ht="13.5" customHeight="1" x14ac:dyDescent="0.25">
      <c r="E6" s="59"/>
      <c r="F6" s="59" t="s">
        <v>93</v>
      </c>
      <c r="G6" s="59"/>
      <c r="H6" s="59" t="s">
        <v>66</v>
      </c>
    </row>
    <row r="7" spans="1:11" ht="17.25" x14ac:dyDescent="0.25">
      <c r="B7" s="59"/>
      <c r="C7" s="59"/>
      <c r="D7" s="23" t="s">
        <v>59</v>
      </c>
      <c r="E7" s="23"/>
      <c r="F7" s="59" t="s">
        <v>4</v>
      </c>
      <c r="G7" s="23" t="s">
        <v>72</v>
      </c>
      <c r="H7" s="23" t="s">
        <v>73</v>
      </c>
    </row>
    <row r="8" spans="1:11" x14ac:dyDescent="0.25">
      <c r="A8" s="56" t="s">
        <v>1</v>
      </c>
      <c r="B8" s="59"/>
      <c r="C8" s="59"/>
      <c r="D8" s="91" t="str">
        <f>'Sch. 111 Charge Rates'!D8</f>
        <v>Nov. 2023 -</v>
      </c>
      <c r="E8" s="23" t="s">
        <v>3</v>
      </c>
      <c r="F8" s="59" t="s">
        <v>10</v>
      </c>
      <c r="G8" s="23" t="s">
        <v>96</v>
      </c>
      <c r="H8" s="23" t="s">
        <v>98</v>
      </c>
    </row>
    <row r="9" spans="1:11" x14ac:dyDescent="0.25">
      <c r="A9" s="60" t="s">
        <v>6</v>
      </c>
      <c r="B9" s="60" t="s">
        <v>7</v>
      </c>
      <c r="C9" s="60" t="s">
        <v>8</v>
      </c>
      <c r="D9" s="46" t="str">
        <f>'Sch. 111 Charge Rates'!D9</f>
        <v>Oct. 2024</v>
      </c>
      <c r="E9" s="60" t="s">
        <v>9</v>
      </c>
      <c r="F9" s="60" t="s">
        <v>234</v>
      </c>
      <c r="G9" s="60" t="s">
        <v>97</v>
      </c>
      <c r="H9" s="60" t="s">
        <v>234</v>
      </c>
    </row>
    <row r="10" spans="1:11" x14ac:dyDescent="0.25">
      <c r="B10" s="72" t="s">
        <v>12</v>
      </c>
      <c r="C10" s="72" t="s">
        <v>13</v>
      </c>
      <c r="D10" s="7" t="s">
        <v>14</v>
      </c>
      <c r="E10" s="23" t="s">
        <v>15</v>
      </c>
      <c r="F10" s="7" t="s">
        <v>16</v>
      </c>
      <c r="G10" s="23" t="s">
        <v>17</v>
      </c>
      <c r="H10" s="74" t="s">
        <v>18</v>
      </c>
      <c r="I10" s="23"/>
    </row>
    <row r="11" spans="1:11" x14ac:dyDescent="0.25">
      <c r="A11" s="56">
        <v>1</v>
      </c>
      <c r="B11" s="39" t="s">
        <v>19</v>
      </c>
      <c r="C11" s="56">
        <v>23</v>
      </c>
      <c r="D11" s="8">
        <f>SUM('CCA Therm Forecast'!N81:N82)</f>
        <v>558669681</v>
      </c>
      <c r="E11" s="9">
        <f>D11/$D$24</f>
        <v>0.55840917456746941</v>
      </c>
      <c r="F11" s="61">
        <f>$F$28*E11</f>
        <v>-72510067.703836843</v>
      </c>
      <c r="G11" s="62">
        <f>SUM('CCA Customer Forecast'!N117:N118)</f>
        <v>8800188.0216536336</v>
      </c>
      <c r="H11" s="63">
        <f>ROUND(F11/G11,2)</f>
        <v>-8.24</v>
      </c>
      <c r="K11" s="64"/>
    </row>
    <row r="12" spans="1:11" ht="17.25" x14ac:dyDescent="0.25">
      <c r="A12" s="56">
        <f>A11+1</f>
        <v>2</v>
      </c>
      <c r="B12" s="88" t="s">
        <v>76</v>
      </c>
      <c r="C12" s="56">
        <v>16</v>
      </c>
      <c r="D12" s="8">
        <f>'CCA Therm Forecast'!N80</f>
        <v>6996</v>
      </c>
      <c r="E12" s="57">
        <f t="shared" ref="E12:E23" si="0">D12/$D$24</f>
        <v>6.99273778072452E-6</v>
      </c>
      <c r="F12" s="61">
        <f t="shared" ref="F12:F23" si="1">$F$28*E12</f>
        <v>-908.01497004102225</v>
      </c>
      <c r="G12" s="62">
        <f>'F2023 Forecast'!N44</f>
        <v>368.21052631578942</v>
      </c>
      <c r="H12" s="63">
        <f t="shared" ref="H12:H23" si="2">ROUND(F12/G12,2)</f>
        <v>-2.4700000000000002</v>
      </c>
      <c r="K12" s="64"/>
    </row>
    <row r="13" spans="1:11" x14ac:dyDescent="0.25">
      <c r="A13" s="56">
        <f t="shared" ref="A13:A28" si="3">A12+1</f>
        <v>3</v>
      </c>
      <c r="B13" s="39" t="s">
        <v>21</v>
      </c>
      <c r="C13" s="56">
        <v>31</v>
      </c>
      <c r="D13" s="8">
        <f>'CCA Therm Forecast'!N83</f>
        <v>227188265.77152669</v>
      </c>
      <c r="E13" s="9">
        <f t="shared" si="0"/>
        <v>0.22708232838734105</v>
      </c>
      <c r="F13" s="61">
        <f t="shared" si="1"/>
        <v>-29486899.133534107</v>
      </c>
      <c r="G13" s="62">
        <f>'CCA Customer Forecast'!N119</f>
        <v>680169</v>
      </c>
      <c r="H13" s="63">
        <f t="shared" si="2"/>
        <v>-43.35</v>
      </c>
      <c r="K13" s="64"/>
    </row>
    <row r="14" spans="1:11" x14ac:dyDescent="0.25">
      <c r="A14" s="56">
        <f t="shared" si="3"/>
        <v>4</v>
      </c>
      <c r="B14" s="39" t="s">
        <v>22</v>
      </c>
      <c r="C14" s="56">
        <v>41</v>
      </c>
      <c r="D14" s="8">
        <f>'CCA Therm Forecast'!N84</f>
        <v>61975078.462204017</v>
      </c>
      <c r="E14" s="9">
        <f t="shared" si="0"/>
        <v>6.1946179620643298E-2</v>
      </c>
      <c r="F14" s="61">
        <f t="shared" si="1"/>
        <v>-8043782.0201755548</v>
      </c>
      <c r="G14" s="62">
        <f>'CCA Customer Forecast'!N120</f>
        <v>14805</v>
      </c>
      <c r="H14" s="63">
        <f t="shared" si="2"/>
        <v>-543.32000000000005</v>
      </c>
      <c r="K14" s="64"/>
    </row>
    <row r="15" spans="1:11" x14ac:dyDescent="0.25">
      <c r="A15" s="56">
        <f t="shared" si="3"/>
        <v>5</v>
      </c>
      <c r="B15" s="39" t="s">
        <v>23</v>
      </c>
      <c r="C15" s="56">
        <v>85</v>
      </c>
      <c r="D15" s="8">
        <f>'CCA Therm Forecast'!N85</f>
        <v>14409118.879922818</v>
      </c>
      <c r="E15" s="9">
        <f t="shared" si="0"/>
        <v>1.4402399939763761E-2</v>
      </c>
      <c r="F15" s="61">
        <f t="shared" si="1"/>
        <v>-1870168.0457505211</v>
      </c>
      <c r="G15" s="62">
        <f>'CCA Customer Forecast'!N121</f>
        <v>408</v>
      </c>
      <c r="H15" s="63">
        <f t="shared" si="2"/>
        <v>-4583.75</v>
      </c>
      <c r="K15" s="64"/>
    </row>
    <row r="16" spans="1:11" x14ac:dyDescent="0.25">
      <c r="A16" s="56">
        <f t="shared" si="3"/>
        <v>6</v>
      </c>
      <c r="B16" s="39" t="s">
        <v>24</v>
      </c>
      <c r="C16" s="56">
        <v>86</v>
      </c>
      <c r="D16" s="8">
        <f>'CCA Therm Forecast'!N86</f>
        <v>4915802</v>
      </c>
      <c r="E16" s="9">
        <f t="shared" si="0"/>
        <v>4.9135097724358427E-3</v>
      </c>
      <c r="F16" s="61">
        <f t="shared" si="1"/>
        <v>-638024.84359027969</v>
      </c>
      <c r="G16" s="62">
        <f>'CCA Customer Forecast'!N122</f>
        <v>1206</v>
      </c>
      <c r="H16" s="63">
        <f t="shared" si="2"/>
        <v>-529.04</v>
      </c>
      <c r="K16" s="64"/>
    </row>
    <row r="17" spans="1:11" x14ac:dyDescent="0.25">
      <c r="A17" s="56">
        <f t="shared" si="3"/>
        <v>7</v>
      </c>
      <c r="B17" s="39" t="s">
        <v>25</v>
      </c>
      <c r="C17" s="56">
        <v>87</v>
      </c>
      <c r="D17" s="8">
        <f>'CCA Therm Forecast'!N87</f>
        <v>1561022.556906593</v>
      </c>
      <c r="E17" s="9">
        <f t="shared" si="0"/>
        <v>1.560294655552305E-3</v>
      </c>
      <c r="F17" s="61">
        <f t="shared" si="1"/>
        <v>-202606.03919995713</v>
      </c>
      <c r="G17" s="62">
        <f>'CCA Customer Forecast'!N123</f>
        <v>12</v>
      </c>
      <c r="H17" s="63">
        <f t="shared" si="2"/>
        <v>-16883.84</v>
      </c>
      <c r="K17" s="64"/>
    </row>
    <row r="18" spans="1:11" x14ac:dyDescent="0.25">
      <c r="A18" s="56">
        <f t="shared" si="3"/>
        <v>8</v>
      </c>
      <c r="B18" s="39" t="s">
        <v>26</v>
      </c>
      <c r="C18" s="56" t="s">
        <v>27</v>
      </c>
      <c r="D18" s="8">
        <f>'CCA Therm Forecast'!N88</f>
        <v>952</v>
      </c>
      <c r="E18" s="9">
        <f t="shared" si="0"/>
        <v>9.5155608451254193E-7</v>
      </c>
      <c r="F18" s="61">
        <f t="shared" si="1"/>
        <v>-123.56064200672573</v>
      </c>
      <c r="G18" s="62">
        <f>'CCA Customer Forecast'!N124</f>
        <v>12</v>
      </c>
      <c r="H18" s="63">
        <f t="shared" si="2"/>
        <v>-10.3</v>
      </c>
      <c r="K18" s="64"/>
    </row>
    <row r="19" spans="1:11" x14ac:dyDescent="0.25">
      <c r="A19" s="56">
        <f t="shared" si="3"/>
        <v>9</v>
      </c>
      <c r="B19" s="39" t="s">
        <v>28</v>
      </c>
      <c r="C19" s="56" t="s">
        <v>29</v>
      </c>
      <c r="D19" s="8">
        <f>'CCA Therm Forecast'!N89</f>
        <v>21384289</v>
      </c>
      <c r="E19" s="9">
        <f t="shared" si="0"/>
        <v>2.1374317553492249E-2</v>
      </c>
      <c r="F19" s="61">
        <f t="shared" si="1"/>
        <v>-2775479.4933795831</v>
      </c>
      <c r="G19" s="62">
        <f>'CCA Customer Forecast'!N125</f>
        <v>1128</v>
      </c>
      <c r="H19" s="63">
        <f t="shared" si="2"/>
        <v>-2460.5300000000002</v>
      </c>
      <c r="K19" s="64"/>
    </row>
    <row r="20" spans="1:11" x14ac:dyDescent="0.25">
      <c r="A20" s="56">
        <f t="shared" si="3"/>
        <v>10</v>
      </c>
      <c r="B20" s="39" t="s">
        <v>30</v>
      </c>
      <c r="C20" s="56" t="s">
        <v>31</v>
      </c>
      <c r="D20" s="8">
        <f>'CCA Therm Forecast'!N90</f>
        <v>58549446.024362169</v>
      </c>
      <c r="E20" s="9">
        <f t="shared" si="0"/>
        <v>5.8522144547605549E-2</v>
      </c>
      <c r="F20" s="61">
        <f t="shared" si="1"/>
        <v>-7599167.1637692498</v>
      </c>
      <c r="G20" s="62">
        <f>'CCA Customer Forecast'!N126</f>
        <v>984</v>
      </c>
      <c r="H20" s="63">
        <f t="shared" si="2"/>
        <v>-7722.73</v>
      </c>
      <c r="K20" s="64"/>
    </row>
    <row r="21" spans="1:11" x14ac:dyDescent="0.25">
      <c r="A21" s="56">
        <f t="shared" si="3"/>
        <v>11</v>
      </c>
      <c r="B21" s="39" t="s">
        <v>32</v>
      </c>
      <c r="C21" s="56" t="s">
        <v>33</v>
      </c>
      <c r="D21" s="8">
        <f>'CCA Therm Forecast'!N91</f>
        <v>1197109</v>
      </c>
      <c r="E21" s="9">
        <f t="shared" si="0"/>
        <v>1.1965507907297527E-3</v>
      </c>
      <c r="F21" s="61">
        <f t="shared" si="1"/>
        <v>-155373.48381515697</v>
      </c>
      <c r="G21" s="62">
        <f>'CCA Customer Forecast'!N127</f>
        <v>84</v>
      </c>
      <c r="H21" s="63">
        <f t="shared" si="2"/>
        <v>-1849.68</v>
      </c>
      <c r="K21" s="64"/>
    </row>
    <row r="22" spans="1:11" x14ac:dyDescent="0.25">
      <c r="A22" s="56">
        <f t="shared" si="3"/>
        <v>12</v>
      </c>
      <c r="B22" s="39" t="s">
        <v>34</v>
      </c>
      <c r="C22" s="56" t="s">
        <v>35</v>
      </c>
      <c r="D22" s="8">
        <f>'CCA Therm Forecast'!N92</f>
        <v>37964088.298294812</v>
      </c>
      <c r="E22" s="9">
        <f t="shared" si="0"/>
        <v>3.7946385728165777E-2</v>
      </c>
      <c r="F22" s="61">
        <f t="shared" si="1"/>
        <v>-4927381.4320770279</v>
      </c>
      <c r="G22" s="62">
        <f>'CCA Customer Forecast'!N128</f>
        <v>36</v>
      </c>
      <c r="H22" s="63">
        <f t="shared" si="2"/>
        <v>-136871.71</v>
      </c>
      <c r="K22" s="64"/>
    </row>
    <row r="23" spans="1:11" x14ac:dyDescent="0.25">
      <c r="A23" s="56">
        <f t="shared" si="3"/>
        <v>13</v>
      </c>
      <c r="B23" s="39" t="s">
        <v>36</v>
      </c>
      <c r="D23" s="8">
        <f>'CCA Therm Forecast'!N93</f>
        <v>12644666.322782926</v>
      </c>
      <c r="E23" s="9">
        <f t="shared" si="0"/>
        <v>1.2638770142935843E-2</v>
      </c>
      <c r="F23" s="61">
        <f t="shared" si="1"/>
        <v>-1641158.7067267669</v>
      </c>
      <c r="G23" s="62">
        <f>'CCA Customer Forecast'!N129</f>
        <v>84</v>
      </c>
      <c r="H23" s="63">
        <f t="shared" si="2"/>
        <v>-19537.599999999999</v>
      </c>
      <c r="K23" s="64"/>
    </row>
    <row r="24" spans="1:11" x14ac:dyDescent="0.25">
      <c r="A24" s="56">
        <f t="shared" si="3"/>
        <v>14</v>
      </c>
      <c r="B24" s="39" t="s">
        <v>2</v>
      </c>
      <c r="D24" s="65">
        <f t="shared" ref="D24:G24" si="4">SUM(D11:D23)</f>
        <v>1000466515.316</v>
      </c>
      <c r="E24" s="66">
        <f t="shared" si="4"/>
        <v>1.0000000000000002</v>
      </c>
      <c r="F24" s="67">
        <f t="shared" si="4"/>
        <v>-129851139.64146709</v>
      </c>
      <c r="G24" s="68">
        <f t="shared" si="4"/>
        <v>9499484.2321799491</v>
      </c>
      <c r="H24" s="70"/>
    </row>
    <row r="25" spans="1:11" x14ac:dyDescent="0.25">
      <c r="A25" s="56">
        <f t="shared" si="3"/>
        <v>15</v>
      </c>
      <c r="D25" s="69"/>
    </row>
    <row r="26" spans="1:11" x14ac:dyDescent="0.25">
      <c r="A26" s="56">
        <f t="shared" si="3"/>
        <v>16</v>
      </c>
      <c r="B26" s="39" t="s">
        <v>38</v>
      </c>
      <c r="D26" s="69"/>
      <c r="F26" s="83">
        <f>'Rev Req'!E25</f>
        <v>-138486564.51223722</v>
      </c>
    </row>
    <row r="27" spans="1:11" x14ac:dyDescent="0.25">
      <c r="A27" s="56">
        <f t="shared" si="3"/>
        <v>17</v>
      </c>
      <c r="B27" s="39" t="s">
        <v>70</v>
      </c>
      <c r="D27" s="69"/>
      <c r="F27" s="83">
        <f>-'Sch. 111 Low Inc. Credit Rates'!E11</f>
        <v>8635424.8707701378</v>
      </c>
    </row>
    <row r="28" spans="1:11" x14ac:dyDescent="0.25">
      <c r="A28" s="56">
        <f t="shared" si="3"/>
        <v>18</v>
      </c>
      <c r="B28" s="39" t="s">
        <v>71</v>
      </c>
      <c r="E28" s="16"/>
      <c r="F28" s="84">
        <f>SUM(F26:F27)</f>
        <v>-129851139.64146708</v>
      </c>
      <c r="G28" s="16"/>
      <c r="H28" s="17"/>
    </row>
    <row r="29" spans="1:11" x14ac:dyDescent="0.25">
      <c r="A29" s="56"/>
      <c r="E29" s="16"/>
      <c r="F29" s="16"/>
      <c r="G29" s="16"/>
      <c r="H29" s="61"/>
    </row>
    <row r="30" spans="1:11" ht="17.25" x14ac:dyDescent="0.25">
      <c r="B30" s="39" t="s">
        <v>108</v>
      </c>
      <c r="D30" s="41"/>
    </row>
    <row r="31" spans="1:11" ht="17.25" x14ac:dyDescent="0.25">
      <c r="B31" s="39" t="s">
        <v>109</v>
      </c>
      <c r="D31" s="41"/>
    </row>
    <row r="32" spans="1:11" ht="17.25" x14ac:dyDescent="0.25">
      <c r="B32" s="39" t="s">
        <v>74</v>
      </c>
      <c r="D32" s="41"/>
    </row>
    <row r="33" spans="2:6" ht="17.25" x14ac:dyDescent="0.25">
      <c r="B33" s="39" t="s">
        <v>75</v>
      </c>
    </row>
    <row r="34" spans="2:6" x14ac:dyDescent="0.25">
      <c r="F34" s="82"/>
    </row>
    <row r="35" spans="2:6" x14ac:dyDescent="0.25">
      <c r="F35" s="64"/>
    </row>
  </sheetData>
  <mergeCells count="3">
    <mergeCell ref="A1:H1"/>
    <mergeCell ref="A3:H3"/>
    <mergeCell ref="A4:H4"/>
  </mergeCells>
  <printOptions horizontalCentered="1"/>
  <pageMargins left="0.45" right="0.45" top="0.75" bottom="0.75" header="0.3" footer="0.3"/>
  <pageSetup scale="94" orientation="landscape" blackAndWhite="1" r:id="rId1"/>
  <headerFooter>
    <oddFooter>&amp;L&amp;F 
&amp;A&amp;C&amp;P&amp;R&amp;D</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pageSetUpPr fitToPage="1"/>
  </sheetPr>
  <dimension ref="A1:P32"/>
  <sheetViews>
    <sheetView zoomScale="90" zoomScaleNormal="90" workbookViewId="0">
      <selection activeCell="J33" sqref="J33"/>
    </sheetView>
  </sheetViews>
  <sheetFormatPr defaultColWidth="9.140625" defaultRowHeight="15" x14ac:dyDescent="0.25"/>
  <cols>
    <col min="1" max="1" width="4.42578125" style="39" customWidth="1"/>
    <col min="2" max="2" width="2.42578125" style="39" customWidth="1"/>
    <col min="3" max="3" width="35.42578125" style="39" bestFit="1" customWidth="1"/>
    <col min="4" max="15" width="12.5703125" style="39" customWidth="1"/>
    <col min="16" max="16" width="13.42578125" style="39" customWidth="1"/>
    <col min="17" max="16384" width="9.140625" style="39"/>
  </cols>
  <sheetData>
    <row r="1" spans="1:16" x14ac:dyDescent="0.25">
      <c r="A1" s="58" t="s">
        <v>0</v>
      </c>
      <c r="B1" s="58"/>
      <c r="C1" s="58"/>
      <c r="D1" s="58"/>
      <c r="E1" s="58"/>
      <c r="F1" s="58"/>
      <c r="G1" s="58"/>
      <c r="H1" s="58"/>
      <c r="I1" s="58"/>
      <c r="J1" s="58"/>
      <c r="K1" s="58"/>
      <c r="L1" s="58"/>
      <c r="M1" s="58"/>
      <c r="N1" s="58"/>
      <c r="O1" s="58"/>
      <c r="P1" s="58"/>
    </row>
    <row r="2" spans="1:16" x14ac:dyDescent="0.25">
      <c r="A2" s="58" t="str">
        <f>'Sch. 111 Charge Rates'!A2</f>
        <v>2023 Gas Schedule 111 Greenhouse Gas Emissions Cap and Invest Adjustment Filing</v>
      </c>
      <c r="B2" s="58"/>
      <c r="C2" s="58"/>
      <c r="D2" s="58"/>
      <c r="E2" s="58"/>
      <c r="F2" s="58"/>
      <c r="G2" s="58"/>
      <c r="H2" s="58"/>
      <c r="I2" s="58"/>
      <c r="J2" s="58"/>
      <c r="K2" s="58"/>
      <c r="L2" s="58"/>
      <c r="M2" s="58"/>
      <c r="N2" s="58"/>
      <c r="O2" s="58"/>
      <c r="P2" s="58"/>
    </row>
    <row r="3" spans="1:16" x14ac:dyDescent="0.25">
      <c r="A3" s="58" t="s">
        <v>243</v>
      </c>
      <c r="B3" s="58"/>
      <c r="C3" s="58"/>
      <c r="D3" s="58"/>
      <c r="E3" s="58"/>
      <c r="F3" s="58"/>
      <c r="G3" s="58"/>
      <c r="H3" s="58"/>
      <c r="I3" s="58"/>
      <c r="J3" s="58"/>
      <c r="K3" s="58"/>
      <c r="L3" s="58"/>
      <c r="M3" s="58"/>
      <c r="N3" s="58"/>
      <c r="O3" s="58"/>
      <c r="P3" s="58"/>
    </row>
    <row r="4" spans="1:16" x14ac:dyDescent="0.25">
      <c r="A4" s="58" t="str">
        <f>'Sch. 111 Charge Rates'!A4:H4</f>
        <v>Proposed Rates Effective November 1, 2023</v>
      </c>
      <c r="B4" s="58"/>
      <c r="C4" s="58"/>
      <c r="D4" s="58"/>
      <c r="E4" s="58"/>
      <c r="F4" s="58"/>
      <c r="G4" s="58"/>
      <c r="H4" s="58"/>
      <c r="I4" s="58"/>
      <c r="J4" s="58"/>
      <c r="K4" s="58"/>
      <c r="L4" s="58"/>
      <c r="M4" s="58"/>
      <c r="N4" s="58"/>
      <c r="O4" s="58"/>
      <c r="P4" s="58"/>
    </row>
    <row r="5" spans="1:16" x14ac:dyDescent="0.25">
      <c r="C5" s="59"/>
      <c r="D5" s="23"/>
      <c r="E5" s="23"/>
      <c r="F5" s="59"/>
      <c r="G5" s="59"/>
      <c r="H5" s="59"/>
      <c r="I5" s="59"/>
      <c r="J5" s="59"/>
      <c r="K5" s="59"/>
      <c r="L5" s="59"/>
      <c r="M5" s="59"/>
      <c r="N5" s="59"/>
      <c r="O5" s="59"/>
    </row>
    <row r="6" spans="1:16" ht="15" customHeight="1" x14ac:dyDescent="0.25">
      <c r="A6" s="73" t="s">
        <v>1</v>
      </c>
      <c r="B6" s="73"/>
      <c r="C6" s="59"/>
      <c r="D6" s="23"/>
      <c r="E6" s="23"/>
      <c r="F6" s="59"/>
      <c r="G6" s="59"/>
      <c r="H6" s="59"/>
      <c r="I6" s="59"/>
      <c r="J6" s="59"/>
      <c r="K6" s="59"/>
      <c r="L6" s="59"/>
      <c r="M6" s="59"/>
      <c r="N6" s="59"/>
      <c r="O6" s="59"/>
    </row>
    <row r="7" spans="1:16" x14ac:dyDescent="0.25">
      <c r="A7" s="60" t="s">
        <v>6</v>
      </c>
      <c r="B7" s="60"/>
      <c r="C7" s="60"/>
      <c r="D7" s="44">
        <v>45231</v>
      </c>
      <c r="E7" s="45">
        <f>EDATE(D7,1)</f>
        <v>45261</v>
      </c>
      <c r="F7" s="45">
        <f t="shared" ref="F7:H7" si="0">EDATE(E7,1)</f>
        <v>45292</v>
      </c>
      <c r="G7" s="45">
        <f t="shared" si="0"/>
        <v>45323</v>
      </c>
      <c r="H7" s="45">
        <f t="shared" si="0"/>
        <v>45352</v>
      </c>
      <c r="I7" s="45">
        <f t="shared" ref="I7" si="1">EDATE(H7,1)</f>
        <v>45383</v>
      </c>
      <c r="J7" s="45">
        <f t="shared" ref="J7" si="2">EDATE(I7,1)</f>
        <v>45413</v>
      </c>
      <c r="K7" s="45">
        <f t="shared" ref="K7" si="3">EDATE(J7,1)</f>
        <v>45444</v>
      </c>
      <c r="L7" s="45">
        <f t="shared" ref="L7" si="4">EDATE(K7,1)</f>
        <v>45474</v>
      </c>
      <c r="M7" s="45">
        <f t="shared" ref="M7" si="5">EDATE(L7,1)</f>
        <v>45505</v>
      </c>
      <c r="N7" s="45">
        <f t="shared" ref="N7" si="6">EDATE(M7,1)</f>
        <v>45536</v>
      </c>
      <c r="O7" s="45">
        <f t="shared" ref="O7" si="7">EDATE(N7,1)</f>
        <v>45566</v>
      </c>
      <c r="P7" s="45" t="s">
        <v>2</v>
      </c>
    </row>
    <row r="8" spans="1:16" x14ac:dyDescent="0.25">
      <c r="C8" s="72" t="s">
        <v>12</v>
      </c>
      <c r="D8" s="72" t="s">
        <v>13</v>
      </c>
      <c r="E8" s="7" t="s">
        <v>14</v>
      </c>
      <c r="F8" s="23" t="s">
        <v>15</v>
      </c>
      <c r="G8" s="7" t="s">
        <v>16</v>
      </c>
      <c r="H8" s="23" t="s">
        <v>17</v>
      </c>
      <c r="I8" s="23" t="s">
        <v>18</v>
      </c>
      <c r="J8" s="23" t="s">
        <v>110</v>
      </c>
      <c r="K8" s="23" t="s">
        <v>111</v>
      </c>
      <c r="L8" s="23" t="s">
        <v>112</v>
      </c>
      <c r="M8" s="23" t="s">
        <v>113</v>
      </c>
      <c r="N8" s="23" t="s">
        <v>114</v>
      </c>
      <c r="O8" s="23" t="s">
        <v>115</v>
      </c>
      <c r="P8" s="74" t="s">
        <v>116</v>
      </c>
    </row>
    <row r="9" spans="1:16" x14ac:dyDescent="0.25">
      <c r="A9" s="73">
        <v>1</v>
      </c>
      <c r="B9" s="79" t="s">
        <v>62</v>
      </c>
      <c r="C9" s="50"/>
      <c r="D9" s="74"/>
      <c r="E9" s="74"/>
      <c r="F9" s="74"/>
      <c r="G9" s="23"/>
      <c r="H9" s="23"/>
      <c r="I9" s="23"/>
      <c r="J9" s="23"/>
      <c r="K9" s="23"/>
      <c r="L9" s="23"/>
      <c r="M9" s="23"/>
      <c r="N9" s="23"/>
      <c r="O9" s="23"/>
      <c r="P9" s="23"/>
    </row>
    <row r="10" spans="1:16" x14ac:dyDescent="0.25">
      <c r="A10" s="73">
        <f>A9+1</f>
        <v>2</v>
      </c>
      <c r="B10" s="39" t="s">
        <v>100</v>
      </c>
    </row>
    <row r="11" spans="1:16" ht="17.25" x14ac:dyDescent="0.25">
      <c r="A11" s="73">
        <f t="shared" ref="A11:A29" si="8">A10+1</f>
        <v>3</v>
      </c>
      <c r="C11" s="88" t="s">
        <v>78</v>
      </c>
      <c r="D11" s="76">
        <f>SUM('CCA Therm Forecast'!B81:B82)</f>
        <v>65562560</v>
      </c>
      <c r="E11" s="76">
        <f>SUM('CCA Therm Forecast'!C81:C82)</f>
        <v>87632029</v>
      </c>
      <c r="F11" s="76">
        <f>SUM('CCA Therm Forecast'!D81:D82)</f>
        <v>85099134</v>
      </c>
      <c r="G11" s="76">
        <f>SUM('CCA Therm Forecast'!E81:E82)</f>
        <v>74985418</v>
      </c>
      <c r="H11" s="76">
        <f>SUM('CCA Therm Forecast'!F81:F82)</f>
        <v>68653480</v>
      </c>
      <c r="I11" s="76">
        <f>SUM('CCA Therm Forecast'!G81:G82)</f>
        <v>46949280</v>
      </c>
      <c r="J11" s="76">
        <f>SUM('CCA Therm Forecast'!H81:H82)</f>
        <v>27300857</v>
      </c>
      <c r="K11" s="76">
        <f>SUM('CCA Therm Forecast'!I81:I82)</f>
        <v>18661784</v>
      </c>
      <c r="L11" s="76">
        <f>SUM('CCA Therm Forecast'!J81:J82)</f>
        <v>14141387</v>
      </c>
      <c r="M11" s="76">
        <f>SUM('CCA Therm Forecast'!K81:K82)</f>
        <v>13556472</v>
      </c>
      <c r="N11" s="76">
        <f>SUM('CCA Therm Forecast'!L81:L82)</f>
        <v>17856721</v>
      </c>
      <c r="O11" s="76">
        <f>SUM('CCA Therm Forecast'!M81:M82)</f>
        <v>38270559</v>
      </c>
      <c r="P11" s="75">
        <f>SUM(D11:O11)</f>
        <v>558669681</v>
      </c>
    </row>
    <row r="12" spans="1:16" x14ac:dyDescent="0.25">
      <c r="A12" s="73">
        <f t="shared" si="8"/>
        <v>4</v>
      </c>
      <c r="C12" s="39" t="s">
        <v>61</v>
      </c>
      <c r="D12" s="77">
        <f>D11/$P11</f>
        <v>0.11735478446341534</v>
      </c>
      <c r="E12" s="77">
        <f t="shared" ref="E12:G12" si="9">E11/$P11</f>
        <v>0.15685839411070529</v>
      </c>
      <c r="F12" s="77">
        <f t="shared" si="9"/>
        <v>0.15232459697414652</v>
      </c>
      <c r="G12" s="77">
        <f t="shared" si="9"/>
        <v>0.134221384389034</v>
      </c>
      <c r="H12" s="77">
        <f>H11/$P11</f>
        <v>0.12288742764259655</v>
      </c>
      <c r="I12" s="77">
        <f t="shared" ref="I12:O12" si="10">I11/$P11</f>
        <v>8.403763725993213E-2</v>
      </c>
      <c r="J12" s="77">
        <f t="shared" si="10"/>
        <v>4.8867618788856378E-2</v>
      </c>
      <c r="K12" s="77">
        <f t="shared" si="10"/>
        <v>3.3403967737422283E-2</v>
      </c>
      <c r="L12" s="77">
        <f t="shared" si="10"/>
        <v>2.5312608650405712E-2</v>
      </c>
      <c r="M12" s="77">
        <f t="shared" si="10"/>
        <v>2.426563040925072E-2</v>
      </c>
      <c r="N12" s="77">
        <f t="shared" si="10"/>
        <v>3.1962931956567013E-2</v>
      </c>
      <c r="O12" s="77">
        <f t="shared" si="10"/>
        <v>6.8503017617668069E-2</v>
      </c>
      <c r="P12" s="78">
        <f>SUM(D12:O12)</f>
        <v>1</v>
      </c>
    </row>
    <row r="13" spans="1:16" x14ac:dyDescent="0.25">
      <c r="A13" s="73">
        <f t="shared" si="8"/>
        <v>5</v>
      </c>
      <c r="C13" s="73"/>
      <c r="D13" s="74"/>
      <c r="E13" s="74"/>
      <c r="F13" s="74"/>
      <c r="G13" s="23"/>
      <c r="H13" s="23"/>
      <c r="I13" s="23"/>
      <c r="J13" s="23"/>
      <c r="K13" s="23"/>
      <c r="L13" s="23"/>
      <c r="M13" s="23"/>
      <c r="N13" s="23"/>
      <c r="O13" s="23"/>
      <c r="P13" s="23"/>
    </row>
    <row r="14" spans="1:16" x14ac:dyDescent="0.25">
      <c r="A14" s="73">
        <f t="shared" si="8"/>
        <v>6</v>
      </c>
      <c r="B14" s="39" t="s">
        <v>244</v>
      </c>
    </row>
    <row r="15" spans="1:16" ht="17.25" x14ac:dyDescent="0.25">
      <c r="A15" s="73">
        <f t="shared" si="8"/>
        <v>7</v>
      </c>
      <c r="C15" s="88" t="s">
        <v>78</v>
      </c>
      <c r="D15" s="76">
        <f>'CCA Therm Forecast'!B83+'CCA Therm Forecast'!B88</f>
        <v>27520605.648362096</v>
      </c>
      <c r="E15" s="76">
        <f>'CCA Therm Forecast'!C83+'CCA Therm Forecast'!C88</f>
        <v>33589178.278931603</v>
      </c>
      <c r="F15" s="76">
        <f>'CCA Therm Forecast'!D83+'CCA Therm Forecast'!D88</f>
        <v>29251883.142705027</v>
      </c>
      <c r="G15" s="76">
        <f>'CCA Therm Forecast'!E83+'CCA Therm Forecast'!E88</f>
        <v>26426578.114929531</v>
      </c>
      <c r="H15" s="76">
        <f>'CCA Therm Forecast'!F83+'CCA Therm Forecast'!F88</f>
        <v>23478055.711751115</v>
      </c>
      <c r="I15" s="76">
        <f>'CCA Therm Forecast'!G83+'CCA Therm Forecast'!G88</f>
        <v>16799847.072861675</v>
      </c>
      <c r="J15" s="76">
        <f>'CCA Therm Forecast'!H83+'CCA Therm Forecast'!H88</f>
        <v>12232412.466361128</v>
      </c>
      <c r="K15" s="76">
        <f>'CCA Therm Forecast'!I83+'CCA Therm Forecast'!I88</f>
        <v>9809449.128705455</v>
      </c>
      <c r="L15" s="76">
        <f>'CCA Therm Forecast'!J83+'CCA Therm Forecast'!J88</f>
        <v>8373013.8763730126</v>
      </c>
      <c r="M15" s="76">
        <f>'CCA Therm Forecast'!K83+'CCA Therm Forecast'!K88</f>
        <v>9200265.004668802</v>
      </c>
      <c r="N15" s="76">
        <f>'CCA Therm Forecast'!L83+'CCA Therm Forecast'!L88</f>
        <v>11325922.791845709</v>
      </c>
      <c r="O15" s="76">
        <f>'CCA Therm Forecast'!M83+'CCA Therm Forecast'!M88</f>
        <v>19182006.534031525</v>
      </c>
      <c r="P15" s="75">
        <f>SUM(D15:O15)</f>
        <v>227189217.77152669</v>
      </c>
    </row>
    <row r="16" spans="1:16" x14ac:dyDescent="0.25">
      <c r="A16" s="73">
        <f t="shared" si="8"/>
        <v>8</v>
      </c>
      <c r="C16" s="39" t="s">
        <v>61</v>
      </c>
      <c r="D16" s="77">
        <f>D15/$P15</f>
        <v>0.12113517498017115</v>
      </c>
      <c r="E16" s="77">
        <f t="shared" ref="E16" si="11">E15/$P15</f>
        <v>0.14784670948913883</v>
      </c>
      <c r="F16" s="77">
        <f t="shared" ref="F16" si="12">F15/$P15</f>
        <v>0.12875559601654266</v>
      </c>
      <c r="G16" s="77">
        <f t="shared" ref="G16" si="13">G15/$P15</f>
        <v>0.1163196844205233</v>
      </c>
      <c r="H16" s="77">
        <f t="shared" ref="H16:O16" si="14">H15/$P15</f>
        <v>0.10334141708856039</v>
      </c>
      <c r="I16" s="77">
        <f t="shared" si="14"/>
        <v>7.3946498155367898E-2</v>
      </c>
      <c r="J16" s="77">
        <f t="shared" si="14"/>
        <v>5.3842398800204853E-2</v>
      </c>
      <c r="K16" s="77">
        <f t="shared" si="14"/>
        <v>4.3177441363306014E-2</v>
      </c>
      <c r="L16" s="77">
        <f t="shared" si="14"/>
        <v>3.68548030514078E-2</v>
      </c>
      <c r="M16" s="77">
        <f t="shared" si="14"/>
        <v>4.0496045960777362E-2</v>
      </c>
      <c r="N16" s="77">
        <f t="shared" si="14"/>
        <v>4.9852378131939545E-2</v>
      </c>
      <c r="O16" s="77">
        <f t="shared" si="14"/>
        <v>8.4431852542060121E-2</v>
      </c>
      <c r="P16" s="78">
        <f>SUM(D16:O16)</f>
        <v>0.99999999999999989</v>
      </c>
    </row>
    <row r="17" spans="1:16" x14ac:dyDescent="0.25">
      <c r="A17" s="73">
        <f t="shared" si="8"/>
        <v>9</v>
      </c>
      <c r="C17" s="73"/>
      <c r="D17" s="74"/>
      <c r="E17" s="74"/>
      <c r="F17" s="74"/>
      <c r="G17" s="23"/>
      <c r="H17" s="23"/>
      <c r="I17" s="23"/>
      <c r="J17" s="23"/>
      <c r="K17" s="23"/>
      <c r="L17" s="23"/>
      <c r="M17" s="23"/>
      <c r="N17" s="23"/>
      <c r="O17" s="23"/>
      <c r="P17" s="23"/>
    </row>
    <row r="18" spans="1:16" x14ac:dyDescent="0.25">
      <c r="A18" s="108">
        <f t="shared" si="8"/>
        <v>10</v>
      </c>
      <c r="B18" s="79" t="s">
        <v>99</v>
      </c>
      <c r="C18" s="73"/>
      <c r="D18" s="74"/>
      <c r="E18" s="74"/>
      <c r="F18" s="74"/>
      <c r="G18" s="23"/>
      <c r="H18" s="23"/>
      <c r="I18" s="23"/>
      <c r="J18" s="23"/>
      <c r="K18" s="23"/>
      <c r="L18" s="23"/>
      <c r="M18" s="23"/>
      <c r="N18" s="23"/>
      <c r="O18" s="23"/>
      <c r="P18" s="23"/>
    </row>
    <row r="19" spans="1:16" x14ac:dyDescent="0.25">
      <c r="A19" s="108">
        <f t="shared" si="8"/>
        <v>11</v>
      </c>
      <c r="B19" s="39" t="s">
        <v>100</v>
      </c>
    </row>
    <row r="20" spans="1:16" x14ac:dyDescent="0.25">
      <c r="A20" s="108">
        <f t="shared" si="8"/>
        <v>12</v>
      </c>
      <c r="C20" s="39" t="s">
        <v>64</v>
      </c>
      <c r="D20" s="76"/>
      <c r="E20" s="76"/>
      <c r="F20" s="76"/>
      <c r="G20" s="76"/>
      <c r="H20" s="76"/>
      <c r="I20" s="76"/>
      <c r="J20" s="76"/>
      <c r="K20" s="76"/>
      <c r="L20" s="76"/>
      <c r="M20" s="76"/>
      <c r="N20" s="76"/>
      <c r="O20" s="76"/>
      <c r="P20" s="85">
        <f>'Sch. 111 Non-Vol Credit Rates'!H11*12</f>
        <v>-98.88</v>
      </c>
    </row>
    <row r="21" spans="1:16" x14ac:dyDescent="0.25">
      <c r="A21" s="108">
        <f t="shared" si="8"/>
        <v>13</v>
      </c>
      <c r="C21" s="39" t="s">
        <v>77</v>
      </c>
      <c r="D21" s="80">
        <f>$P$20*D12</f>
        <v>-11.604041087742509</v>
      </c>
      <c r="E21" s="80">
        <f t="shared" ref="E21:O21" si="15">$P$20*E12</f>
        <v>-15.510158009666538</v>
      </c>
      <c r="F21" s="80">
        <f t="shared" si="15"/>
        <v>-15.061856148803606</v>
      </c>
      <c r="G21" s="80">
        <f t="shared" si="15"/>
        <v>-13.271810488387681</v>
      </c>
      <c r="H21" s="80">
        <f t="shared" si="15"/>
        <v>-12.151108845299946</v>
      </c>
      <c r="I21" s="80">
        <f t="shared" si="15"/>
        <v>-8.3096415722620893</v>
      </c>
      <c r="J21" s="80">
        <f t="shared" si="15"/>
        <v>-4.8320301458421184</v>
      </c>
      <c r="K21" s="80">
        <f t="shared" si="15"/>
        <v>-3.3029843298763151</v>
      </c>
      <c r="L21" s="80">
        <f t="shared" si="15"/>
        <v>-2.5029107433521167</v>
      </c>
      <c r="M21" s="80">
        <f t="shared" si="15"/>
        <v>-2.399385534866711</v>
      </c>
      <c r="N21" s="80">
        <f t="shared" si="15"/>
        <v>-3.1604947118653461</v>
      </c>
      <c r="O21" s="80">
        <f t="shared" si="15"/>
        <v>-6.7735783820350184</v>
      </c>
      <c r="P21" s="81">
        <f>SUM(D21:O21)</f>
        <v>-98.879999999999981</v>
      </c>
    </row>
    <row r="22" spans="1:16" x14ac:dyDescent="0.25">
      <c r="A22" s="108">
        <f t="shared" si="8"/>
        <v>14</v>
      </c>
      <c r="D22" s="77"/>
      <c r="E22" s="77"/>
      <c r="F22" s="77"/>
      <c r="G22" s="77"/>
      <c r="H22" s="77"/>
      <c r="I22" s="77"/>
      <c r="J22" s="77"/>
      <c r="K22" s="77"/>
      <c r="L22" s="77"/>
      <c r="M22" s="77"/>
      <c r="N22" s="77"/>
      <c r="O22" s="77"/>
      <c r="P22" s="78"/>
    </row>
    <row r="23" spans="1:16" x14ac:dyDescent="0.25">
      <c r="A23" s="108">
        <f t="shared" si="8"/>
        <v>15</v>
      </c>
      <c r="B23" s="39" t="s">
        <v>63</v>
      </c>
    </row>
    <row r="24" spans="1:16" x14ac:dyDescent="0.25">
      <c r="A24" s="108">
        <f t="shared" si="8"/>
        <v>16</v>
      </c>
      <c r="C24" s="39" t="s">
        <v>64</v>
      </c>
      <c r="D24" s="76"/>
      <c r="E24" s="76"/>
      <c r="F24" s="76"/>
      <c r="G24" s="76"/>
      <c r="H24" s="76"/>
      <c r="I24" s="76"/>
      <c r="J24" s="76"/>
      <c r="K24" s="76"/>
      <c r="L24" s="76"/>
      <c r="M24" s="76"/>
      <c r="N24" s="76"/>
      <c r="O24" s="76"/>
      <c r="P24" s="85">
        <f>'Sch. 111 Non-Vol Credit Rates'!H13*12</f>
        <v>-520.20000000000005</v>
      </c>
    </row>
    <row r="25" spans="1:16" x14ac:dyDescent="0.25">
      <c r="A25" s="108">
        <f t="shared" si="8"/>
        <v>17</v>
      </c>
      <c r="C25" s="39" t="s">
        <v>77</v>
      </c>
      <c r="D25" s="80">
        <f>$P$24*D16</f>
        <v>-63.014518024685039</v>
      </c>
      <c r="E25" s="80">
        <f t="shared" ref="E25:O25" si="16">$P$24*E16</f>
        <v>-76.909858276250034</v>
      </c>
      <c r="F25" s="80">
        <f t="shared" si="16"/>
        <v>-66.978661047805502</v>
      </c>
      <c r="G25" s="80">
        <f t="shared" si="16"/>
        <v>-60.509499835556227</v>
      </c>
      <c r="H25" s="80">
        <f t="shared" si="16"/>
        <v>-53.758205169469115</v>
      </c>
      <c r="I25" s="80">
        <f t="shared" si="16"/>
        <v>-38.466968340422383</v>
      </c>
      <c r="J25" s="80">
        <f t="shared" si="16"/>
        <v>-28.008815855866569</v>
      </c>
      <c r="K25" s="80">
        <f t="shared" si="16"/>
        <v>-22.46090499719179</v>
      </c>
      <c r="L25" s="80">
        <f t="shared" si="16"/>
        <v>-19.171868547342338</v>
      </c>
      <c r="M25" s="80">
        <f t="shared" si="16"/>
        <v>-21.066043108796386</v>
      </c>
      <c r="N25" s="80">
        <f t="shared" si="16"/>
        <v>-25.933207104234953</v>
      </c>
      <c r="O25" s="80">
        <f t="shared" si="16"/>
        <v>-43.921449692379682</v>
      </c>
      <c r="P25" s="81">
        <f>SUM(D25:O25)</f>
        <v>-520.20000000000005</v>
      </c>
    </row>
    <row r="26" spans="1:16" x14ac:dyDescent="0.25">
      <c r="A26" s="108">
        <f t="shared" si="8"/>
        <v>18</v>
      </c>
      <c r="D26" s="77"/>
      <c r="E26" s="77"/>
      <c r="F26" s="77"/>
      <c r="G26" s="77"/>
      <c r="H26" s="77"/>
      <c r="I26" s="77"/>
      <c r="J26" s="77"/>
      <c r="K26" s="77"/>
      <c r="L26" s="77"/>
      <c r="M26" s="77"/>
      <c r="N26" s="77"/>
      <c r="O26" s="77"/>
      <c r="P26" s="78"/>
    </row>
    <row r="27" spans="1:16" x14ac:dyDescent="0.25">
      <c r="A27" s="108">
        <f t="shared" si="8"/>
        <v>19</v>
      </c>
      <c r="B27" s="39" t="s">
        <v>67</v>
      </c>
    </row>
    <row r="28" spans="1:16" x14ac:dyDescent="0.25">
      <c r="A28" s="108">
        <f t="shared" si="8"/>
        <v>20</v>
      </c>
      <c r="C28" s="39" t="s">
        <v>64</v>
      </c>
      <c r="D28" s="76"/>
      <c r="E28" s="76"/>
      <c r="F28" s="76"/>
      <c r="G28" s="76"/>
      <c r="H28" s="76"/>
      <c r="I28" s="76"/>
      <c r="J28" s="76"/>
      <c r="K28" s="76"/>
      <c r="L28" s="76"/>
      <c r="M28" s="76"/>
      <c r="N28" s="76"/>
      <c r="O28" s="76"/>
      <c r="P28" s="85">
        <f>'Sch. 111 Non-Vol Credit Rates'!H18*12</f>
        <v>-123.60000000000001</v>
      </c>
    </row>
    <row r="29" spans="1:16" x14ac:dyDescent="0.25">
      <c r="A29" s="108">
        <f t="shared" si="8"/>
        <v>21</v>
      </c>
      <c r="C29" s="39" t="s">
        <v>77</v>
      </c>
      <c r="D29" s="80">
        <f>$P$28*D16</f>
        <v>-14.972307627549155</v>
      </c>
      <c r="E29" s="80">
        <f t="shared" ref="E29:O29" si="17">$P$28*E16</f>
        <v>-18.273853292857559</v>
      </c>
      <c r="F29" s="80">
        <f t="shared" si="17"/>
        <v>-15.914191667644673</v>
      </c>
      <c r="G29" s="80">
        <f t="shared" si="17"/>
        <v>-14.377112994376681</v>
      </c>
      <c r="H29" s="80">
        <f t="shared" si="17"/>
        <v>-12.772999152146065</v>
      </c>
      <c r="I29" s="80">
        <f t="shared" si="17"/>
        <v>-9.1397871720034729</v>
      </c>
      <c r="J29" s="80">
        <f t="shared" si="17"/>
        <v>-6.6549204917053206</v>
      </c>
      <c r="K29" s="80">
        <f t="shared" si="17"/>
        <v>-5.3367317525046234</v>
      </c>
      <c r="L29" s="80">
        <f t="shared" si="17"/>
        <v>-4.5552536571540045</v>
      </c>
      <c r="M29" s="80">
        <f t="shared" si="17"/>
        <v>-5.0053112807520819</v>
      </c>
      <c r="N29" s="80">
        <f t="shared" si="17"/>
        <v>-6.1617539371077283</v>
      </c>
      <c r="O29" s="80">
        <f t="shared" si="17"/>
        <v>-10.435776974198632</v>
      </c>
      <c r="P29" s="81">
        <f>SUM(D29:O29)</f>
        <v>-123.60000000000001</v>
      </c>
    </row>
    <row r="30" spans="1:16" x14ac:dyDescent="0.25">
      <c r="D30" s="77"/>
      <c r="E30" s="77"/>
      <c r="F30" s="77"/>
      <c r="G30" s="77"/>
      <c r="H30" s="77"/>
      <c r="I30" s="77"/>
      <c r="J30" s="77"/>
      <c r="K30" s="77"/>
      <c r="L30" s="77"/>
      <c r="M30" s="77"/>
      <c r="N30" s="77"/>
      <c r="O30" s="77"/>
      <c r="P30" s="78"/>
    </row>
    <row r="31" spans="1:16" ht="17.25" x14ac:dyDescent="0.25">
      <c r="B31" s="39" t="s">
        <v>108</v>
      </c>
      <c r="D31" s="77"/>
      <c r="E31" s="77"/>
      <c r="F31" s="77"/>
      <c r="G31" s="77"/>
      <c r="H31" s="77"/>
      <c r="I31" s="77"/>
      <c r="J31" s="77"/>
      <c r="K31" s="77"/>
      <c r="L31" s="77"/>
      <c r="M31" s="77"/>
      <c r="N31" s="77"/>
      <c r="O31" s="77"/>
      <c r="P31" s="78"/>
    </row>
    <row r="32" spans="1:16" x14ac:dyDescent="0.25">
      <c r="D32" s="41"/>
    </row>
  </sheetData>
  <printOptions horizontalCentered="1"/>
  <pageMargins left="0.45" right="0.45" top="0.75" bottom="0.75" header="0.3" footer="0.3"/>
  <pageSetup scale="62" orientation="landscape" blackAndWhite="1" r:id="rId1"/>
  <headerFooter>
    <oddFooter>&amp;L&amp;F 
&amp;A&amp;C&amp;P&amp;R&amp;D</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
  <sheetViews>
    <sheetView workbookViewId="0">
      <selection activeCell="O31" sqref="O31"/>
    </sheetView>
  </sheetViews>
  <sheetFormatPr defaultRowHeight="15" x14ac:dyDescent="0.25"/>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Z37"/>
  <sheetViews>
    <sheetView zoomScale="85" zoomScaleNormal="85" workbookViewId="0">
      <pane xSplit="3" ySplit="9" topLeftCell="H10" activePane="bottomRight" state="frozenSplit"/>
      <selection activeCell="H40" sqref="H40"/>
      <selection pane="topRight" activeCell="H40" sqref="H40"/>
      <selection pane="bottomLeft" activeCell="H40" sqref="H40"/>
      <selection pane="bottomRight" activeCell="Q37" sqref="Q37"/>
    </sheetView>
  </sheetViews>
  <sheetFormatPr defaultRowHeight="15" x14ac:dyDescent="0.25"/>
  <cols>
    <col min="1" max="1" width="2.85546875" customWidth="1"/>
    <col min="2" max="2" width="37.5703125" customWidth="1"/>
    <col min="3" max="3" width="8.42578125" bestFit="1" customWidth="1"/>
    <col min="4" max="4" width="15" bestFit="1" customWidth="1"/>
    <col min="5" max="5" width="14.5703125" bestFit="1" customWidth="1"/>
    <col min="6" max="6" width="10.5703125" bestFit="1" customWidth="1"/>
    <col min="7" max="7" width="15" customWidth="1"/>
    <col min="8" max="9" width="14.5703125" bestFit="1" customWidth="1"/>
    <col min="10" max="10" width="13.28515625" bestFit="1" customWidth="1"/>
    <col min="11" max="11" width="13.28515625" customWidth="1"/>
    <col min="12" max="12" width="13.28515625" bestFit="1" customWidth="1"/>
    <col min="13" max="13" width="12.140625" bestFit="1" customWidth="1"/>
    <col min="14" max="14" width="13.28515625" bestFit="1" customWidth="1"/>
    <col min="15" max="15" width="14" bestFit="1" customWidth="1"/>
    <col min="16" max="17" width="14" customWidth="1"/>
    <col min="18" max="18" width="12.85546875" bestFit="1" customWidth="1"/>
    <col min="19" max="19" width="13.28515625" bestFit="1" customWidth="1"/>
    <col min="20" max="20" width="16.140625" bestFit="1" customWidth="1"/>
    <col min="21" max="21" width="13.28515625" customWidth="1"/>
    <col min="22" max="22" width="7.85546875" bestFit="1" customWidth="1"/>
    <col min="23" max="23" width="14.42578125" bestFit="1" customWidth="1"/>
    <col min="24" max="24" width="8.85546875" bestFit="1" customWidth="1"/>
    <col min="25" max="25" width="13.28515625" customWidth="1"/>
    <col min="26" max="26" width="7.85546875" bestFit="1" customWidth="1"/>
  </cols>
  <sheetData>
    <row r="1" spans="2:26" x14ac:dyDescent="0.25">
      <c r="B1" s="212" t="s">
        <v>0</v>
      </c>
      <c r="C1" s="212"/>
      <c r="D1" s="212"/>
      <c r="E1" s="212"/>
      <c r="F1" s="212"/>
      <c r="G1" s="212"/>
      <c r="H1" s="212"/>
      <c r="I1" s="212"/>
      <c r="J1" s="212"/>
      <c r="K1" s="212"/>
      <c r="L1" s="212"/>
      <c r="M1" s="212"/>
      <c r="N1" s="212"/>
      <c r="O1" s="212"/>
      <c r="P1" s="212"/>
      <c r="Q1" s="212"/>
      <c r="R1" s="212"/>
      <c r="S1" s="212"/>
      <c r="T1" s="212"/>
      <c r="U1" s="212"/>
      <c r="V1" s="212"/>
      <c r="W1" s="212"/>
      <c r="X1" s="212"/>
      <c r="Y1" s="212"/>
      <c r="Z1" s="212"/>
    </row>
    <row r="2" spans="2:26" x14ac:dyDescent="0.25">
      <c r="B2" s="212" t="s">
        <v>39</v>
      </c>
      <c r="C2" s="212"/>
      <c r="D2" s="212"/>
      <c r="E2" s="212"/>
      <c r="F2" s="212"/>
      <c r="G2" s="212"/>
      <c r="H2" s="212"/>
      <c r="I2" s="212"/>
      <c r="J2" s="212"/>
      <c r="K2" s="212"/>
      <c r="L2" s="212"/>
      <c r="M2" s="212"/>
      <c r="N2" s="212"/>
      <c r="O2" s="212"/>
      <c r="P2" s="212"/>
      <c r="Q2" s="212"/>
      <c r="R2" s="212"/>
      <c r="S2" s="212"/>
      <c r="T2" s="212"/>
      <c r="U2" s="212"/>
      <c r="V2" s="212"/>
      <c r="W2" s="212"/>
      <c r="X2" s="212"/>
      <c r="Y2" s="212"/>
      <c r="Z2" s="212"/>
    </row>
    <row r="3" spans="2:26" x14ac:dyDescent="0.25">
      <c r="B3" s="213" t="s">
        <v>129</v>
      </c>
      <c r="C3" s="213"/>
      <c r="D3" s="213"/>
      <c r="E3" s="213"/>
      <c r="F3" s="213"/>
      <c r="G3" s="213"/>
      <c r="H3" s="213"/>
      <c r="I3" s="213"/>
      <c r="J3" s="213"/>
      <c r="K3" s="213"/>
      <c r="L3" s="213"/>
      <c r="M3" s="213"/>
      <c r="N3" s="213"/>
      <c r="O3" s="213"/>
      <c r="P3" s="213"/>
      <c r="Q3" s="213"/>
      <c r="R3" s="213"/>
      <c r="S3" s="213"/>
      <c r="T3" s="213"/>
      <c r="U3" s="213"/>
      <c r="V3" s="213"/>
      <c r="W3" s="213"/>
      <c r="X3" s="213"/>
      <c r="Y3" s="213"/>
      <c r="Z3" s="213"/>
    </row>
    <row r="4" spans="2:26" x14ac:dyDescent="0.25">
      <c r="B4" s="213" t="s">
        <v>106</v>
      </c>
      <c r="C4" s="213"/>
      <c r="D4" s="213"/>
      <c r="E4" s="213"/>
      <c r="F4" s="213"/>
      <c r="G4" s="213"/>
      <c r="H4" s="213"/>
      <c r="I4" s="213"/>
      <c r="J4" s="213"/>
      <c r="K4" s="213"/>
      <c r="L4" s="213"/>
      <c r="M4" s="213"/>
      <c r="N4" s="213"/>
      <c r="O4" s="213"/>
      <c r="P4" s="213"/>
      <c r="Q4" s="213"/>
      <c r="R4" s="213"/>
      <c r="S4" s="213"/>
      <c r="T4" s="213"/>
      <c r="U4" s="213"/>
      <c r="V4" s="213"/>
      <c r="W4" s="213"/>
      <c r="X4" s="213"/>
      <c r="Y4" s="213"/>
      <c r="Z4" s="213"/>
    </row>
    <row r="5" spans="2:26" x14ac:dyDescent="0.25">
      <c r="F5" s="109"/>
      <c r="O5" s="109"/>
      <c r="P5" s="109"/>
      <c r="Q5" s="109"/>
    </row>
    <row r="6" spans="2:26" x14ac:dyDescent="0.25">
      <c r="F6" s="109"/>
      <c r="G6" s="110" t="s">
        <v>130</v>
      </c>
      <c r="O6" s="109"/>
      <c r="P6" s="109"/>
      <c r="Q6" s="109"/>
    </row>
    <row r="7" spans="2:26" x14ac:dyDescent="0.25">
      <c r="B7" s="110"/>
      <c r="C7" s="110"/>
      <c r="D7" s="110" t="s">
        <v>131</v>
      </c>
      <c r="E7" s="110" t="str">
        <f>D7</f>
        <v>UG-220067</v>
      </c>
      <c r="F7" s="110" t="s">
        <v>132</v>
      </c>
      <c r="G7" s="110" t="s">
        <v>133</v>
      </c>
      <c r="H7" s="109"/>
      <c r="I7" s="110"/>
      <c r="J7" s="110"/>
      <c r="K7" s="110"/>
      <c r="L7" s="110"/>
      <c r="M7" s="110"/>
      <c r="N7" s="110"/>
      <c r="O7" s="110"/>
      <c r="P7" s="110"/>
      <c r="Q7" s="110"/>
      <c r="R7" s="110"/>
      <c r="S7" s="110"/>
      <c r="T7" s="111" t="s">
        <v>134</v>
      </c>
      <c r="U7" s="111" t="s">
        <v>5</v>
      </c>
      <c r="V7" s="110"/>
      <c r="W7" s="111" t="s">
        <v>5</v>
      </c>
      <c r="X7" s="110"/>
      <c r="Y7" s="111" t="s">
        <v>5</v>
      </c>
      <c r="Z7" s="110"/>
    </row>
    <row r="8" spans="2:26" x14ac:dyDescent="0.25">
      <c r="B8" s="110"/>
      <c r="C8" s="110" t="s">
        <v>135</v>
      </c>
      <c r="D8" s="110" t="s">
        <v>136</v>
      </c>
      <c r="E8" s="110" t="s">
        <v>137</v>
      </c>
      <c r="F8" s="110" t="s">
        <v>135</v>
      </c>
      <c r="G8" s="111" t="s">
        <v>107</v>
      </c>
      <c r="H8" s="109" t="s">
        <v>137</v>
      </c>
      <c r="I8" s="110" t="s">
        <v>138</v>
      </c>
      <c r="J8" s="110" t="s">
        <v>139</v>
      </c>
      <c r="K8" s="110" t="s">
        <v>5</v>
      </c>
      <c r="L8" s="110" t="s">
        <v>140</v>
      </c>
      <c r="M8" s="110" t="s">
        <v>141</v>
      </c>
      <c r="N8" s="110" t="s">
        <v>142</v>
      </c>
      <c r="O8" s="110" t="s">
        <v>143</v>
      </c>
      <c r="P8" s="110" t="s">
        <v>144</v>
      </c>
      <c r="Q8" s="110" t="s">
        <v>145</v>
      </c>
      <c r="R8" s="110" t="s">
        <v>146</v>
      </c>
      <c r="S8" s="110" t="s">
        <v>147</v>
      </c>
      <c r="T8" s="110" t="s">
        <v>148</v>
      </c>
      <c r="U8" s="110" t="s">
        <v>149</v>
      </c>
      <c r="V8" s="110" t="s">
        <v>150</v>
      </c>
      <c r="W8" s="110" t="s">
        <v>151</v>
      </c>
      <c r="X8" s="110" t="s">
        <v>150</v>
      </c>
      <c r="Y8" s="110" t="s">
        <v>152</v>
      </c>
      <c r="Z8" s="110" t="s">
        <v>150</v>
      </c>
    </row>
    <row r="9" spans="2:26" ht="17.25" x14ac:dyDescent="0.25">
      <c r="B9" s="112" t="s">
        <v>7</v>
      </c>
      <c r="C9" s="112" t="s">
        <v>153</v>
      </c>
      <c r="D9" s="112" t="s">
        <v>154</v>
      </c>
      <c r="E9" s="112" t="s">
        <v>155</v>
      </c>
      <c r="F9" s="112" t="s">
        <v>156</v>
      </c>
      <c r="G9" s="113" t="s">
        <v>157</v>
      </c>
      <c r="H9" s="112" t="s">
        <v>4</v>
      </c>
      <c r="I9" s="112" t="s">
        <v>4</v>
      </c>
      <c r="J9" s="112" t="s">
        <v>4</v>
      </c>
      <c r="K9" s="112" t="s">
        <v>4</v>
      </c>
      <c r="L9" s="112" t="s">
        <v>4</v>
      </c>
      <c r="M9" s="112" t="s">
        <v>4</v>
      </c>
      <c r="N9" s="112" t="s">
        <v>4</v>
      </c>
      <c r="O9" s="112" t="s">
        <v>4</v>
      </c>
      <c r="P9" s="112" t="s">
        <v>4</v>
      </c>
      <c r="Q9" s="112" t="s">
        <v>4</v>
      </c>
      <c r="R9" s="112" t="s">
        <v>4</v>
      </c>
      <c r="S9" s="112" t="s">
        <v>4</v>
      </c>
      <c r="T9" s="60" t="s">
        <v>158</v>
      </c>
      <c r="U9" s="112" t="s">
        <v>159</v>
      </c>
      <c r="V9" s="112" t="s">
        <v>159</v>
      </c>
      <c r="W9" s="112" t="s">
        <v>159</v>
      </c>
      <c r="X9" s="112" t="s">
        <v>159</v>
      </c>
      <c r="Y9" s="112" t="s">
        <v>159</v>
      </c>
      <c r="Z9" s="112" t="s">
        <v>159</v>
      </c>
    </row>
    <row r="10" spans="2:26" x14ac:dyDescent="0.25">
      <c r="B10" s="110" t="s">
        <v>160</v>
      </c>
      <c r="C10" s="110" t="s">
        <v>161</v>
      </c>
      <c r="D10" s="114" t="s">
        <v>162</v>
      </c>
      <c r="E10" s="115" t="s">
        <v>163</v>
      </c>
      <c r="F10" s="110" t="s">
        <v>164</v>
      </c>
      <c r="G10" s="110" t="s">
        <v>165</v>
      </c>
      <c r="H10" s="110" t="s">
        <v>166</v>
      </c>
      <c r="I10" s="110" t="s">
        <v>167</v>
      </c>
      <c r="J10" s="110" t="s">
        <v>168</v>
      </c>
      <c r="K10" s="110" t="s">
        <v>169</v>
      </c>
      <c r="L10" s="110" t="s">
        <v>170</v>
      </c>
      <c r="M10" s="115" t="s">
        <v>171</v>
      </c>
      <c r="N10" s="115" t="s">
        <v>172</v>
      </c>
      <c r="O10" s="115" t="s">
        <v>173</v>
      </c>
      <c r="P10" s="115" t="s">
        <v>174</v>
      </c>
      <c r="Q10" s="115" t="s">
        <v>175</v>
      </c>
      <c r="R10" s="115" t="s">
        <v>176</v>
      </c>
      <c r="S10" s="115" t="s">
        <v>177</v>
      </c>
      <c r="T10" s="116" t="s">
        <v>178</v>
      </c>
      <c r="U10" s="110" t="s">
        <v>179</v>
      </c>
      <c r="V10" s="110" t="s">
        <v>180</v>
      </c>
      <c r="W10" s="110" t="s">
        <v>181</v>
      </c>
      <c r="X10" s="110" t="s">
        <v>182</v>
      </c>
      <c r="Y10" s="110" t="s">
        <v>183</v>
      </c>
      <c r="Z10" s="110" t="s">
        <v>184</v>
      </c>
    </row>
    <row r="11" spans="2:26" x14ac:dyDescent="0.25">
      <c r="B11" t="s">
        <v>19</v>
      </c>
      <c r="C11" s="109">
        <v>23</v>
      </c>
      <c r="D11" s="199">
        <v>620836684.05687141</v>
      </c>
      <c r="E11" s="123">
        <v>403613457.09474093</v>
      </c>
      <c r="F11" s="119">
        <f t="shared" ref="F11:F16" si="0">(E11)/D11</f>
        <v>0.6501121268436002</v>
      </c>
      <c r="G11" s="199">
        <v>558669681</v>
      </c>
      <c r="H11" s="120">
        <f>F11*G11</f>
        <v>363197934.51794565</v>
      </c>
      <c r="I11" s="123">
        <v>385588227.13</v>
      </c>
      <c r="J11" s="123">
        <v>22547908.329999998</v>
      </c>
      <c r="K11" s="118">
        <f>'Sch. 111 Charge'!J10+'Sch. 111 Credit'!J10+'Sch. 111 Credit'!J29</f>
        <v>18618472.394449353</v>
      </c>
      <c r="L11" s="123">
        <v>16061753.328750001</v>
      </c>
      <c r="M11" s="123">
        <v>1765396.19196</v>
      </c>
      <c r="N11" s="123">
        <v>12765602.210849999</v>
      </c>
      <c r="O11" s="123">
        <v>1821263.1600599999</v>
      </c>
      <c r="P11" s="123">
        <v>-949738.45769999991</v>
      </c>
      <c r="Q11" s="123">
        <v>27179279.98065</v>
      </c>
      <c r="R11" s="123">
        <v>-765377.46296999999</v>
      </c>
      <c r="S11" s="123">
        <v>2592227.3199999998</v>
      </c>
      <c r="T11" s="121">
        <f t="shared" ref="T11:T23" si="1">SUM(H11:S11)</f>
        <v>850422948.64399505</v>
      </c>
      <c r="U11" s="118">
        <f>'Sch. 111 Charge'!L10</f>
        <v>92549219.354460001</v>
      </c>
      <c r="V11" s="122">
        <f>U11/T11</f>
        <v>0.10882728353230629</v>
      </c>
      <c r="W11" s="118">
        <f>SUM('Sch. 111 Credit'!L10,'Sch. 111 Credit'!L29)</f>
        <v>-81148974.169196099</v>
      </c>
      <c r="X11" s="122">
        <f>W11/T11</f>
        <v>-9.5421900712567398E-2</v>
      </c>
      <c r="Y11" s="120">
        <f>U11+W11</f>
        <v>11400245.185263902</v>
      </c>
      <c r="Z11" s="122">
        <f>Y11/T11</f>
        <v>1.3405382819738893E-2</v>
      </c>
    </row>
    <row r="12" spans="2:26" x14ac:dyDescent="0.25">
      <c r="B12" t="s">
        <v>20</v>
      </c>
      <c r="C12" s="109">
        <v>16</v>
      </c>
      <c r="D12" s="199">
        <v>8190.2669999999998</v>
      </c>
      <c r="E12" s="123">
        <v>5233.1499999999996</v>
      </c>
      <c r="F12" s="119">
        <f t="shared" si="0"/>
        <v>0.63894742381414427</v>
      </c>
      <c r="G12" s="199">
        <v>6996</v>
      </c>
      <c r="H12" s="120">
        <f t="shared" ref="H12:H23" si="2">F12*G12</f>
        <v>4470.0761770037534</v>
      </c>
      <c r="I12" s="123">
        <v>4310.8</v>
      </c>
      <c r="J12" s="123">
        <v>282.36</v>
      </c>
      <c r="K12" s="118">
        <f>'Sch. 111 Charge'!J11+'Sch. 111 Credit'!J11</f>
        <v>299.14527789473709</v>
      </c>
      <c r="L12" s="123">
        <v>201.13500000000002</v>
      </c>
      <c r="M12" s="123"/>
      <c r="N12" s="123">
        <v>159.8586</v>
      </c>
      <c r="O12" s="123">
        <v>22.80696</v>
      </c>
      <c r="P12" s="123">
        <v>-11.8932</v>
      </c>
      <c r="Q12" s="123">
        <v>340.35539999999997</v>
      </c>
      <c r="R12" s="123">
        <v>-9.5845199999999995</v>
      </c>
      <c r="S12" s="123"/>
      <c r="T12" s="121">
        <f t="shared" si="1"/>
        <v>10065.059694898489</v>
      </c>
      <c r="U12" s="118">
        <f>'Sch. 111 Charge'!L11</f>
        <v>1158.9573600000001</v>
      </c>
      <c r="V12" s="122">
        <f t="shared" ref="V12:V24" si="3">U12/T12</f>
        <v>0.1151465957611182</v>
      </c>
      <c r="W12" s="118">
        <f>'Sch. 111 Credit'!L11</f>
        <v>-909.47999999999956</v>
      </c>
      <c r="X12" s="122">
        <f t="shared" ref="X12:X23" si="4">W12/T12</f>
        <v>-9.0360119817369064E-2</v>
      </c>
      <c r="Y12" s="120">
        <f t="shared" ref="Y12:Y23" si="5">U12+W12</f>
        <v>249.47736000000054</v>
      </c>
      <c r="Z12" s="122">
        <f t="shared" ref="Z12:Z23" si="6">Y12/T12</f>
        <v>2.4786475943749147E-2</v>
      </c>
    </row>
    <row r="13" spans="2:26" x14ac:dyDescent="0.25">
      <c r="B13" t="s">
        <v>21</v>
      </c>
      <c r="C13" s="109">
        <v>31</v>
      </c>
      <c r="D13" s="199">
        <v>222166912.14539161</v>
      </c>
      <c r="E13" s="123">
        <v>122121000.06</v>
      </c>
      <c r="F13" s="119">
        <f t="shared" si="0"/>
        <v>0.54968131339054194</v>
      </c>
      <c r="G13" s="199">
        <v>231772233</v>
      </c>
      <c r="H13" s="120">
        <f t="shared" si="2"/>
        <v>127400865.44289871</v>
      </c>
      <c r="I13" s="123">
        <v>140929106.28</v>
      </c>
      <c r="J13" s="123">
        <v>9352009.5999999996</v>
      </c>
      <c r="K13" s="118">
        <f>'Sch. 111 Charge'!J12+'Sch. 111 Credit'!J12</f>
        <v>6905260.5375939459</v>
      </c>
      <c r="L13" s="123">
        <v>6663451.6987500004</v>
      </c>
      <c r="M13" s="123">
        <v>618831.86210999999</v>
      </c>
      <c r="N13" s="123">
        <v>5824436.2152899997</v>
      </c>
      <c r="O13" s="123">
        <v>697634.42133000004</v>
      </c>
      <c r="P13" s="123">
        <v>-363882.40581000003</v>
      </c>
      <c r="Q13" s="123">
        <v>10408890.984029999</v>
      </c>
      <c r="R13" s="123">
        <v>-340705.18251000001</v>
      </c>
      <c r="S13" s="123">
        <v>-4127863.47</v>
      </c>
      <c r="T13" s="121">
        <f t="shared" si="1"/>
        <v>303968035.98368269</v>
      </c>
      <c r="U13" s="118">
        <f>'Sch. 111 Charge'!L12</f>
        <v>37636008.107711114</v>
      </c>
      <c r="V13" s="122">
        <f t="shared" si="3"/>
        <v>0.12381567682245199</v>
      </c>
      <c r="W13" s="118">
        <f>'Sch. 111 Credit'!L12</f>
        <v>-29485326.149999999</v>
      </c>
      <c r="X13" s="122">
        <f t="shared" si="4"/>
        <v>-9.7001403633054373E-2</v>
      </c>
      <c r="Y13" s="120">
        <f t="shared" si="5"/>
        <v>8150681.9577111155</v>
      </c>
      <c r="Z13" s="122">
        <f t="shared" si="6"/>
        <v>2.6814273189397626E-2</v>
      </c>
    </row>
    <row r="14" spans="2:26" x14ac:dyDescent="0.25">
      <c r="B14" t="s">
        <v>22</v>
      </c>
      <c r="C14" s="109">
        <v>41</v>
      </c>
      <c r="D14" s="199">
        <v>62517991.156948164</v>
      </c>
      <c r="E14" s="123">
        <v>17786398.291046247</v>
      </c>
      <c r="F14" s="119">
        <f t="shared" si="0"/>
        <v>0.28450047677306872</v>
      </c>
      <c r="G14" s="199">
        <v>62094943</v>
      </c>
      <c r="H14" s="120">
        <f t="shared" si="2"/>
        <v>17666040.888696525</v>
      </c>
      <c r="I14" s="123">
        <v>36299716.199999996</v>
      </c>
      <c r="J14" s="123">
        <v>2501184.2999999998</v>
      </c>
      <c r="K14" s="118">
        <f>'Sch. 111 Charge'!J13+'Sch. 111 Credit'!J13</f>
        <v>1678870.9278105255</v>
      </c>
      <c r="L14" s="123">
        <v>1785229.6112500001</v>
      </c>
      <c r="M14" s="123">
        <v>80102.476469999994</v>
      </c>
      <c r="N14" s="123">
        <v>623433.22771999997</v>
      </c>
      <c r="O14" s="123">
        <v>140955.52061000001</v>
      </c>
      <c r="P14" s="123">
        <v>-46571.207249999999</v>
      </c>
      <c r="Q14" s="123">
        <v>1333178.4262099999</v>
      </c>
      <c r="R14" s="123">
        <v>-34773.168079999996</v>
      </c>
      <c r="S14" s="123">
        <v>-2213449.0699999998</v>
      </c>
      <c r="T14" s="121">
        <f t="shared" si="1"/>
        <v>59813918.133437045</v>
      </c>
      <c r="U14" s="118">
        <f>'Sch. 111 Charge'!L13</f>
        <v>10266791.498048715</v>
      </c>
      <c r="V14" s="122">
        <f t="shared" si="3"/>
        <v>0.17164552696823579</v>
      </c>
      <c r="W14" s="118">
        <f>'Sch. 111 Credit'!L13</f>
        <v>-8043852.6000000034</v>
      </c>
      <c r="X14" s="122">
        <f t="shared" si="4"/>
        <v>-0.13448128547698912</v>
      </c>
      <c r="Y14" s="120">
        <f t="shared" si="5"/>
        <v>2222938.8980487119</v>
      </c>
      <c r="Z14" s="122">
        <f t="shared" si="6"/>
        <v>3.7164241491246662E-2</v>
      </c>
    </row>
    <row r="15" spans="2:26" x14ac:dyDescent="0.25">
      <c r="B15" t="s">
        <v>23</v>
      </c>
      <c r="C15" s="109">
        <v>85</v>
      </c>
      <c r="D15" s="199">
        <v>19992939.502740219</v>
      </c>
      <c r="E15" s="123">
        <v>2272313.06</v>
      </c>
      <c r="F15" s="119">
        <f t="shared" si="0"/>
        <v>0.11365577631486147</v>
      </c>
      <c r="G15" s="199">
        <v>17262378</v>
      </c>
      <c r="H15" s="120">
        <f t="shared" si="2"/>
        <v>1961968.9726305858</v>
      </c>
      <c r="I15" s="123">
        <v>9433565.2300000004</v>
      </c>
      <c r="J15" s="123">
        <v>694292.84</v>
      </c>
      <c r="K15" s="118">
        <f>'Sch. 111 Charge'!J14+'Sch. 111 Credit'!J14</f>
        <v>1264301.4497745382</v>
      </c>
      <c r="L15" s="123">
        <v>446059.84751999995</v>
      </c>
      <c r="M15" s="123">
        <v>10632.452929682517</v>
      </c>
      <c r="N15" s="123">
        <v>91317.979620000013</v>
      </c>
      <c r="O15" s="123">
        <v>31762.775519999999</v>
      </c>
      <c r="P15" s="123">
        <v>-7768.0700999999999</v>
      </c>
      <c r="Q15" s="123">
        <v>220440.56706</v>
      </c>
      <c r="R15" s="123">
        <v>-4660.8420599999999</v>
      </c>
      <c r="S15" s="123"/>
      <c r="T15" s="121">
        <f t="shared" si="1"/>
        <v>14141913.202894807</v>
      </c>
      <c r="U15" s="118">
        <f>'Sch. 111 Charge'!L14</f>
        <v>2387014.6336480142</v>
      </c>
      <c r="V15" s="122">
        <f t="shared" si="3"/>
        <v>0.16879007807510793</v>
      </c>
      <c r="W15" s="118">
        <f>'Sch. 111 Credit'!L14</f>
        <v>-1870170</v>
      </c>
      <c r="X15" s="122">
        <f t="shared" si="4"/>
        <v>-0.13224306875375122</v>
      </c>
      <c r="Y15" s="120">
        <f t="shared" si="5"/>
        <v>516844.63364801416</v>
      </c>
      <c r="Z15" s="122">
        <f t="shared" si="6"/>
        <v>3.6547009321356717E-2</v>
      </c>
    </row>
    <row r="16" spans="2:26" x14ac:dyDescent="0.25">
      <c r="B16" t="s">
        <v>24</v>
      </c>
      <c r="C16" s="109">
        <v>86</v>
      </c>
      <c r="D16" s="199">
        <v>5773170.4876905456</v>
      </c>
      <c r="E16" s="123">
        <v>1192875.52</v>
      </c>
      <c r="F16" s="119">
        <f t="shared" si="0"/>
        <v>0.20662398980654192</v>
      </c>
      <c r="G16" s="199">
        <v>4915802</v>
      </c>
      <c r="H16" s="120">
        <f t="shared" si="2"/>
        <v>1015722.6223389785</v>
      </c>
      <c r="I16" s="123">
        <v>2743827.45</v>
      </c>
      <c r="J16" s="123">
        <v>197861.03</v>
      </c>
      <c r="K16" s="118">
        <f>'Sch. 111 Charge'!J15+'Sch. 111 Credit'!J15</f>
        <v>172083.67993999983</v>
      </c>
      <c r="L16" s="123">
        <v>127024.32367999999</v>
      </c>
      <c r="M16" s="123">
        <v>5505.6982399999997</v>
      </c>
      <c r="N16" s="123">
        <v>33083.347459999997</v>
      </c>
      <c r="O16" s="123">
        <v>2408.74298</v>
      </c>
      <c r="P16" s="123">
        <v>-1769.6887200000001</v>
      </c>
      <c r="Q16" s="123">
        <v>51173.498820000001</v>
      </c>
      <c r="R16" s="123">
        <v>-1622.2146600000001</v>
      </c>
      <c r="S16" s="123">
        <v>-130515.55</v>
      </c>
      <c r="T16" s="121">
        <f t="shared" si="1"/>
        <v>4214782.9400789784</v>
      </c>
      <c r="U16" s="118">
        <f>'Sch. 111 Charge'!L15</f>
        <v>814351.75932000019</v>
      </c>
      <c r="V16" s="122">
        <f t="shared" si="3"/>
        <v>0.19321321427402866</v>
      </c>
      <c r="W16" s="118">
        <f>'Sch. 111 Credit'!L15</f>
        <v>-638022.23999999987</v>
      </c>
      <c r="X16" s="122">
        <f t="shared" si="4"/>
        <v>-0.15137724743377753</v>
      </c>
      <c r="Y16" s="120">
        <f t="shared" si="5"/>
        <v>176329.51932000031</v>
      </c>
      <c r="Z16" s="122">
        <f t="shared" si="6"/>
        <v>4.1835966840251128E-2</v>
      </c>
    </row>
    <row r="17" spans="2:26" x14ac:dyDescent="0.25">
      <c r="B17" t="s">
        <v>25</v>
      </c>
      <c r="C17" s="109">
        <v>87</v>
      </c>
      <c r="D17" s="199">
        <v>21819455.762355208</v>
      </c>
      <c r="E17" s="123">
        <v>1509849.77</v>
      </c>
      <c r="F17" s="119">
        <f>(E17)/D17</f>
        <v>6.9197407416775353E-2</v>
      </c>
      <c r="G17" s="199">
        <v>20838410</v>
      </c>
      <c r="H17" s="120">
        <f t="shared" si="2"/>
        <v>1441963.9466878057</v>
      </c>
      <c r="I17" s="123">
        <v>11396526.43</v>
      </c>
      <c r="J17" s="123">
        <v>838120.85</v>
      </c>
      <c r="K17" s="118">
        <f>'Sch. 111 Charge'!J16+'Sch. 111 Credit'!J16</f>
        <v>255924.1808792213</v>
      </c>
      <c r="L17" s="123">
        <v>538464.51439999999</v>
      </c>
      <c r="M17" s="123">
        <v>5693.2632755742006</v>
      </c>
      <c r="N17" s="123">
        <v>78560.805699999997</v>
      </c>
      <c r="O17" s="123">
        <v>16644.756359352024</v>
      </c>
      <c r="P17" s="123">
        <v>-4321.7868064121949</v>
      </c>
      <c r="Q17" s="123">
        <v>125409.71587828953</v>
      </c>
      <c r="R17" s="123">
        <v>-2917.3773999999999</v>
      </c>
      <c r="S17" s="123"/>
      <c r="T17" s="121">
        <f t="shared" si="1"/>
        <v>14690069.298973832</v>
      </c>
      <c r="U17" s="118">
        <f>'Sch. 111 Charge'!L16</f>
        <v>258598.99677714618</v>
      </c>
      <c r="V17" s="122">
        <f t="shared" si="3"/>
        <v>1.7603660780225898E-2</v>
      </c>
      <c r="W17" s="118">
        <f>'Sch. 111 Credit'!L16</f>
        <v>-202606.08000000002</v>
      </c>
      <c r="X17" s="122">
        <f t="shared" si="4"/>
        <v>-1.3792043854698014E-2</v>
      </c>
      <c r="Y17" s="120">
        <f t="shared" si="5"/>
        <v>55992.916777146165</v>
      </c>
      <c r="Z17" s="122">
        <f t="shared" si="6"/>
        <v>3.8116169255278816E-3</v>
      </c>
    </row>
    <row r="18" spans="2:26" x14ac:dyDescent="0.25">
      <c r="B18" t="s">
        <v>26</v>
      </c>
      <c r="C18" s="109" t="s">
        <v>27</v>
      </c>
      <c r="D18" s="199">
        <v>36958.529999999992</v>
      </c>
      <c r="E18" s="123">
        <v>23981.98</v>
      </c>
      <c r="F18" s="119">
        <f>(E18)/D18</f>
        <v>0.64888890331947735</v>
      </c>
      <c r="G18" s="199">
        <v>0</v>
      </c>
      <c r="H18" s="120">
        <f t="shared" si="2"/>
        <v>0</v>
      </c>
      <c r="I18" s="123"/>
      <c r="J18" s="123"/>
      <c r="K18" s="118">
        <f>'Sch. 111 Charge'!J17+'Sch. 111 Credit'!J17</f>
        <v>-3473.1245599999997</v>
      </c>
      <c r="L18" s="123"/>
      <c r="M18" s="123">
        <v>0</v>
      </c>
      <c r="N18" s="123">
        <v>0</v>
      </c>
      <c r="O18" s="123">
        <v>0</v>
      </c>
      <c r="P18" s="123">
        <v>0</v>
      </c>
      <c r="Q18" s="123">
        <v>0</v>
      </c>
      <c r="R18" s="123">
        <v>0</v>
      </c>
      <c r="S18" s="123">
        <v>0</v>
      </c>
      <c r="T18" s="121">
        <f t="shared" si="1"/>
        <v>-3473.1245599999997</v>
      </c>
      <c r="U18" s="118">
        <f>'Sch. 111 Charge'!L17</f>
        <v>157.70831999999999</v>
      </c>
      <c r="V18" s="124">
        <f>('Sch. 111 Charge'!I17-'Sch. 111 Charge'!F17)/0.46609</f>
        <v>0.35542491793430453</v>
      </c>
      <c r="W18" s="118">
        <f>'Sch. 111 Credit'!L17</f>
        <v>-123.60000000000036</v>
      </c>
      <c r="X18" s="124">
        <f>('Sch. 111 Non-Vol Credit Rates'!F18/'Sch. 111 Non-Vol Credit Rates'!D18)/0.46609</f>
        <v>-0.27846679899418414</v>
      </c>
      <c r="Y18" s="120">
        <f t="shared" si="5"/>
        <v>34.108319999999622</v>
      </c>
      <c r="Z18" s="124">
        <f>V18+X18</f>
        <v>7.695811894012039E-2</v>
      </c>
    </row>
    <row r="19" spans="2:26" x14ac:dyDescent="0.25">
      <c r="B19" t="s">
        <v>28</v>
      </c>
      <c r="C19" s="109" t="s">
        <v>29</v>
      </c>
      <c r="D19" s="199">
        <v>19494505.608019032</v>
      </c>
      <c r="E19" s="123">
        <v>4475398.7622919884</v>
      </c>
      <c r="F19" s="119">
        <f t="shared" ref="F19:F24" si="7">(E19)/D19</f>
        <v>0.22957231397810063</v>
      </c>
      <c r="G19" s="199">
        <v>21384289</v>
      </c>
      <c r="H19" s="120">
        <f>F19*G19</f>
        <v>4909240.7085064435</v>
      </c>
      <c r="I19" s="123"/>
      <c r="J19" s="123"/>
      <c r="K19" s="118">
        <f>'Sch. 111 Charge'!J18+'Sch. 111 Credit'!J18</f>
        <v>949419.45432999916</v>
      </c>
      <c r="L19" s="123"/>
      <c r="M19" s="123">
        <v>27585.732809999998</v>
      </c>
      <c r="N19" s="123">
        <v>214698.26156000001</v>
      </c>
      <c r="O19" s="123">
        <v>0</v>
      </c>
      <c r="P19" s="123">
        <v>-16038.21675</v>
      </c>
      <c r="Q19" s="123">
        <v>459120.68482999998</v>
      </c>
      <c r="R19" s="123">
        <v>-11975.20184</v>
      </c>
      <c r="S19" s="123">
        <v>-646481.66999999993</v>
      </c>
      <c r="T19" s="121">
        <f t="shared" si="1"/>
        <v>5885569.7534464421</v>
      </c>
      <c r="U19" s="118">
        <f>'Sch. 111 Charge'!L18</f>
        <v>3542521.3157400005</v>
      </c>
      <c r="V19" s="122">
        <f t="shared" si="3"/>
        <v>0.60189947008368883</v>
      </c>
      <c r="W19" s="118">
        <f>'Sch. 111 Credit'!L18</f>
        <v>-2775477.84</v>
      </c>
      <c r="X19" s="122">
        <f t="shared" si="4"/>
        <v>-0.47157334910095144</v>
      </c>
      <c r="Y19" s="120">
        <f t="shared" si="5"/>
        <v>767043.47574000061</v>
      </c>
      <c r="Z19" s="122">
        <f t="shared" si="6"/>
        <v>0.13032612098273735</v>
      </c>
    </row>
    <row r="20" spans="2:26" x14ac:dyDescent="0.25">
      <c r="B20" t="s">
        <v>30</v>
      </c>
      <c r="C20" s="109" t="s">
        <v>31</v>
      </c>
      <c r="D20" s="199">
        <v>68886791.019958794</v>
      </c>
      <c r="E20" s="123">
        <v>7339677.3100000005</v>
      </c>
      <c r="F20" s="119">
        <f t="shared" si="7"/>
        <v>0.1065469475544804</v>
      </c>
      <c r="G20" s="199">
        <v>63341836</v>
      </c>
      <c r="H20" s="120">
        <f t="shared" si="2"/>
        <v>6748879.2782964986</v>
      </c>
      <c r="I20" s="123"/>
      <c r="J20" s="123"/>
      <c r="K20" s="118">
        <f>'Sch. 111 Charge'!J19+'Sch. 111 Credit'!J19</f>
        <v>1629895.5646367241</v>
      </c>
      <c r="L20" s="123"/>
      <c r="M20" s="123">
        <v>37306.194389539523</v>
      </c>
      <c r="N20" s="123">
        <v>335078.31244000001</v>
      </c>
      <c r="O20" s="123">
        <v>0</v>
      </c>
      <c r="P20" s="123">
        <v>-28503.8262</v>
      </c>
      <c r="Q20" s="123">
        <v>808875.24572000001</v>
      </c>
      <c r="R20" s="123">
        <v>-17102.295720000002</v>
      </c>
      <c r="S20" s="123"/>
      <c r="T20" s="121">
        <f t="shared" si="1"/>
        <v>9514428.4735627621</v>
      </c>
      <c r="U20" s="118">
        <f>'Sch. 111 Charge'!L19</f>
        <v>9699301.2283958364</v>
      </c>
      <c r="V20" s="122">
        <f t="shared" si="3"/>
        <v>1.0194307787742343</v>
      </c>
      <c r="W20" s="118">
        <f>'Sch. 111 Credit'!L19</f>
        <v>-7599166.3200000003</v>
      </c>
      <c r="X20" s="122">
        <f t="shared" si="4"/>
        <v>-0.79869919051001337</v>
      </c>
      <c r="Y20" s="120">
        <f t="shared" si="5"/>
        <v>2100134.9083958361</v>
      </c>
      <c r="Z20" s="122">
        <f t="shared" si="6"/>
        <v>0.22073158826422098</v>
      </c>
    </row>
    <row r="21" spans="2:26" x14ac:dyDescent="0.25">
      <c r="B21" t="s">
        <v>32</v>
      </c>
      <c r="C21" s="109" t="s">
        <v>33</v>
      </c>
      <c r="D21" s="199">
        <v>1718484.3400000003</v>
      </c>
      <c r="E21" s="123">
        <v>367155.5</v>
      </c>
      <c r="F21" s="119">
        <f t="shared" si="7"/>
        <v>0.21365076856039314</v>
      </c>
      <c r="G21" s="199">
        <v>1197109</v>
      </c>
      <c r="H21" s="120">
        <f t="shared" si="2"/>
        <v>255763.25790056368</v>
      </c>
      <c r="I21" s="123"/>
      <c r="J21" s="123"/>
      <c r="K21" s="118">
        <f>'Sch. 111 Charge'!J20+'Sch. 111 Credit'!J20</f>
        <v>-19648.190270000021</v>
      </c>
      <c r="L21" s="123"/>
      <c r="M21" s="123">
        <v>1340.76208</v>
      </c>
      <c r="N21" s="123">
        <v>8056.5435699999998</v>
      </c>
      <c r="O21" s="123">
        <v>0</v>
      </c>
      <c r="P21" s="123">
        <v>-430.95924000000002</v>
      </c>
      <c r="Q21" s="123">
        <v>12461.904690000001</v>
      </c>
      <c r="R21" s="123">
        <v>-395.04597000000001</v>
      </c>
      <c r="S21" s="123">
        <v>-28853</v>
      </c>
      <c r="T21" s="121">
        <f t="shared" si="1"/>
        <v>228295.27276056365</v>
      </c>
      <c r="U21" s="118">
        <f>'Sch. 111 Charge'!L20</f>
        <v>198313.07694</v>
      </c>
      <c r="V21" s="122">
        <f t="shared" si="3"/>
        <v>0.86866922184582851</v>
      </c>
      <c r="W21" s="118">
        <f>'Sch. 111 Credit'!L20</f>
        <v>-155373.12000000005</v>
      </c>
      <c r="X21" s="122">
        <f t="shared" si="4"/>
        <v>-0.6805796638765953</v>
      </c>
      <c r="Y21" s="120">
        <f t="shared" si="5"/>
        <v>42939.956939999945</v>
      </c>
      <c r="Z21" s="122">
        <f t="shared" si="6"/>
        <v>0.18808955796923321</v>
      </c>
    </row>
    <row r="22" spans="2:26" x14ac:dyDescent="0.25">
      <c r="B22" t="s">
        <v>34</v>
      </c>
      <c r="C22" s="109" t="s">
        <v>35</v>
      </c>
      <c r="D22" s="199">
        <v>97500425.645479575</v>
      </c>
      <c r="E22" s="123">
        <v>4790056.76</v>
      </c>
      <c r="F22" s="119">
        <f>(E22)/D22</f>
        <v>4.9128572806616068E-2</v>
      </c>
      <c r="G22" s="199">
        <v>124707675</v>
      </c>
      <c r="H22" s="120">
        <f t="shared" si="2"/>
        <v>6126710.0907813143</v>
      </c>
      <c r="I22" s="123"/>
      <c r="J22" s="123"/>
      <c r="K22" s="118">
        <f>'Sch. 111 Charge'!J21+'Sch. 111 Credit'!J21</f>
        <v>6556973.8070298694</v>
      </c>
      <c r="L22" s="123"/>
      <c r="M22" s="123">
        <v>27666.177388667486</v>
      </c>
      <c r="N22" s="123">
        <v>470147.93475000001</v>
      </c>
      <c r="O22" s="123">
        <v>0</v>
      </c>
      <c r="P22" s="123">
        <v>-18634.247555659411</v>
      </c>
      <c r="Q22" s="123">
        <v>540055.56266420404</v>
      </c>
      <c r="R22" s="123">
        <v>-17459.074499999999</v>
      </c>
      <c r="S22" s="123"/>
      <c r="T22" s="121">
        <f t="shared" si="1"/>
        <v>13685460.250558395</v>
      </c>
      <c r="U22" s="118">
        <f>'Sch. 111 Charge'!L21</f>
        <v>6289130.8674955182</v>
      </c>
      <c r="V22" s="122">
        <f t="shared" si="3"/>
        <v>0.45954836390971276</v>
      </c>
      <c r="W22" s="118">
        <f>'Sch. 111 Credit'!L21</f>
        <v>-4927381.5599999996</v>
      </c>
      <c r="X22" s="122">
        <f t="shared" si="4"/>
        <v>-0.36004500176009441</v>
      </c>
      <c r="Y22" s="120">
        <f t="shared" si="5"/>
        <v>1361749.3074955186</v>
      </c>
      <c r="Z22" s="122">
        <f t="shared" si="6"/>
        <v>9.9503362149618343E-2</v>
      </c>
    </row>
    <row r="23" spans="2:26" x14ac:dyDescent="0.25">
      <c r="B23" t="s">
        <v>36</v>
      </c>
      <c r="D23" s="199">
        <v>32154478.538398605</v>
      </c>
      <c r="E23" s="123">
        <v>1699064.4523564125</v>
      </c>
      <c r="F23" s="125">
        <f t="shared" si="7"/>
        <v>5.2840678175744761E-2</v>
      </c>
      <c r="G23" s="199">
        <v>32000271</v>
      </c>
      <c r="H23" s="120">
        <f t="shared" si="2"/>
        <v>1690916.021447618</v>
      </c>
      <c r="I23" s="123"/>
      <c r="J23" s="123"/>
      <c r="K23" s="118">
        <f>'Sch. 111 Charge'!J22+'Sch. 111 Credit'!J22</f>
        <v>244321.92173769884</v>
      </c>
      <c r="L23" s="123"/>
      <c r="M23" s="123"/>
      <c r="N23" s="123">
        <v>30080.25474</v>
      </c>
      <c r="O23" s="123">
        <v>0</v>
      </c>
      <c r="P23" s="123">
        <v>0</v>
      </c>
      <c r="Q23" s="123">
        <v>0</v>
      </c>
      <c r="R23" s="123">
        <v>-2240.0189699999996</v>
      </c>
      <c r="S23" s="123"/>
      <c r="T23" s="121">
        <f t="shared" si="1"/>
        <v>1963078.1789553168</v>
      </c>
      <c r="U23" s="118">
        <f>'Sch. 111 Charge'!L22</f>
        <v>2094715.4230322195</v>
      </c>
      <c r="V23" s="122">
        <f t="shared" si="3"/>
        <v>1.0670565469516633</v>
      </c>
      <c r="W23" s="118">
        <f>'Sch. 111 Credit'!L22</f>
        <v>-1641158.3999999994</v>
      </c>
      <c r="X23" s="122">
        <f t="shared" si="4"/>
        <v>-0.83601275669691766</v>
      </c>
      <c r="Y23" s="120">
        <f t="shared" si="5"/>
        <v>453557.02303222008</v>
      </c>
      <c r="Z23" s="122">
        <f t="shared" si="6"/>
        <v>0.23104379025474556</v>
      </c>
    </row>
    <row r="24" spans="2:26" x14ac:dyDescent="0.25">
      <c r="B24" t="s">
        <v>2</v>
      </c>
      <c r="D24" s="126">
        <f>SUM(D11:D23)</f>
        <v>1172906987.060853</v>
      </c>
      <c r="E24" s="127">
        <f>SUM(E11:E23)</f>
        <v>567196461.71043551</v>
      </c>
      <c r="F24" s="119">
        <f t="shared" si="7"/>
        <v>0.48358179119706113</v>
      </c>
      <c r="G24" s="126">
        <f>SUM(G11:G23)</f>
        <v>1138191623</v>
      </c>
      <c r="H24" s="127">
        <f>SUM(H11:H23)</f>
        <v>532420475.82430762</v>
      </c>
      <c r="I24" s="127">
        <f t="shared" ref="I24:L24" si="8">SUM(I11:I23)</f>
        <v>586395279.5200001</v>
      </c>
      <c r="J24" s="127">
        <f t="shared" si="8"/>
        <v>36131659.310000002</v>
      </c>
      <c r="K24" s="127">
        <f t="shared" si="8"/>
        <v>38252701.748629779</v>
      </c>
      <c r="L24" s="127">
        <f t="shared" si="8"/>
        <v>25622184.459350001</v>
      </c>
      <c r="M24" s="127">
        <f>SUM(M11:M23)</f>
        <v>2580060.8116534636</v>
      </c>
      <c r="N24" s="127">
        <f>SUM(N11:N23)</f>
        <v>20474654.952299997</v>
      </c>
      <c r="O24" s="127">
        <f>SUM(O11:O23)</f>
        <v>2710692.1838193517</v>
      </c>
      <c r="P24" s="127">
        <f t="shared" ref="P24:Q24" si="9">SUM(P11:P23)</f>
        <v>-1437670.7593320713</v>
      </c>
      <c r="Q24" s="127">
        <f t="shared" si="9"/>
        <v>41139226.925952494</v>
      </c>
      <c r="R24" s="127">
        <f>SUM(R11:R23)</f>
        <v>-1199237.4692000004</v>
      </c>
      <c r="S24" s="127">
        <f t="shared" ref="S24:T24" si="10">SUM(S11:S23)</f>
        <v>-4554935.4399999995</v>
      </c>
      <c r="T24" s="128">
        <f t="shared" si="10"/>
        <v>1278535092.0674806</v>
      </c>
      <c r="U24" s="127">
        <f>SUM(U11:U23)</f>
        <v>165737282.92724854</v>
      </c>
      <c r="V24" s="129">
        <f t="shared" si="3"/>
        <v>0.12963060924611758</v>
      </c>
      <c r="W24" s="127">
        <f>SUM(W11:W23)</f>
        <v>-138488541.55919611</v>
      </c>
      <c r="X24" s="129">
        <f>W24/T24</f>
        <v>-0.10831813879684012</v>
      </c>
      <c r="Y24" s="127">
        <f>SUM(Y11:Y23)</f>
        <v>27248741.368052475</v>
      </c>
      <c r="Z24" s="129">
        <f>Y24/T24</f>
        <v>2.1312470449277508E-2</v>
      </c>
    </row>
    <row r="25" spans="2:26" x14ac:dyDescent="0.25">
      <c r="D25" s="130"/>
      <c r="E25" s="120"/>
      <c r="G25" s="130"/>
      <c r="M25" s="120"/>
      <c r="R25" s="120"/>
      <c r="S25" s="120"/>
      <c r="T25" s="120"/>
      <c r="V25" s="131"/>
    </row>
    <row r="26" spans="2:26" s="136" customFormat="1" x14ac:dyDescent="0.25">
      <c r="B26" s="132" t="s">
        <v>185</v>
      </c>
      <c r="C26" s="133"/>
      <c r="D26" s="134"/>
      <c r="E26" s="135"/>
      <c r="U26" s="137"/>
      <c r="V26" s="138"/>
    </row>
    <row r="27" spans="2:26" s="136" customFormat="1" x14ac:dyDescent="0.25">
      <c r="B27" s="139" t="s">
        <v>19</v>
      </c>
      <c r="C27" s="140" t="s">
        <v>186</v>
      </c>
      <c r="D27" s="141">
        <f>D11+D12</f>
        <v>620844874.32387137</v>
      </c>
      <c r="E27" s="142">
        <f>E11+E12</f>
        <v>403618690.2447409</v>
      </c>
      <c r="F27" s="119">
        <f t="shared" ref="F27:F34" si="11">(E27)/D27</f>
        <v>0.65011197955737365</v>
      </c>
      <c r="G27" s="141">
        <f>G11+G12</f>
        <v>558676677</v>
      </c>
      <c r="H27" s="142">
        <f>H11+H12</f>
        <v>363202404.59412265</v>
      </c>
      <c r="I27" s="142">
        <f t="shared" ref="I27:S27" si="12">I11+I12</f>
        <v>385592537.93000001</v>
      </c>
      <c r="J27" s="142">
        <f t="shared" si="12"/>
        <v>22548190.689999998</v>
      </c>
      <c r="K27" s="142">
        <f t="shared" si="12"/>
        <v>18618771.539727248</v>
      </c>
      <c r="L27" s="142">
        <f t="shared" si="12"/>
        <v>16061954.463750001</v>
      </c>
      <c r="M27" s="142">
        <f t="shared" si="12"/>
        <v>1765396.19196</v>
      </c>
      <c r="N27" s="142">
        <f t="shared" si="12"/>
        <v>12765762.069449998</v>
      </c>
      <c r="O27" s="142">
        <f t="shared" si="12"/>
        <v>1821285.9670199999</v>
      </c>
      <c r="P27" s="142">
        <f t="shared" si="12"/>
        <v>-949750.35089999996</v>
      </c>
      <c r="Q27" s="142">
        <f t="shared" si="12"/>
        <v>27179620.33605</v>
      </c>
      <c r="R27" s="142">
        <f t="shared" si="12"/>
        <v>-765387.04749000003</v>
      </c>
      <c r="S27" s="142">
        <f t="shared" si="12"/>
        <v>2592227.3199999998</v>
      </c>
      <c r="T27" s="142">
        <f>T11+T12</f>
        <v>850433013.70368993</v>
      </c>
      <c r="U27" s="120">
        <f>SUM(U11:U12)</f>
        <v>92550378.31182</v>
      </c>
      <c r="V27" s="122">
        <f>U27/T27</f>
        <v>0.10882735832274103</v>
      </c>
      <c r="W27" s="120">
        <f>SUM(W11:W12)</f>
        <v>-81149883.649196103</v>
      </c>
      <c r="X27" s="122">
        <f>W27/T27</f>
        <v>-9.5421840805289523E-2</v>
      </c>
      <c r="Y27" s="120">
        <f>SUM(Y11:Y12)</f>
        <v>11400494.662623903</v>
      </c>
      <c r="Z27" s="122">
        <f>Y27/T27</f>
        <v>1.3405517517451518E-2</v>
      </c>
    </row>
    <row r="28" spans="2:26" s="136" customFormat="1" x14ac:dyDescent="0.25">
      <c r="B28" s="143" t="s">
        <v>187</v>
      </c>
      <c r="C28" s="140" t="s">
        <v>188</v>
      </c>
      <c r="D28" s="141">
        <f>D13+D18</f>
        <v>222203870.67539161</v>
      </c>
      <c r="E28" s="142">
        <f>E13+E18</f>
        <v>122144982.04000001</v>
      </c>
      <c r="F28" s="119">
        <f t="shared" si="11"/>
        <v>0.54969781430331843</v>
      </c>
      <c r="G28" s="141">
        <f t="shared" ref="G28:S32" si="13">G13+G18</f>
        <v>231772233</v>
      </c>
      <c r="H28" s="142">
        <f t="shared" si="13"/>
        <v>127400865.44289871</v>
      </c>
      <c r="I28" s="142">
        <f t="shared" si="13"/>
        <v>140929106.28</v>
      </c>
      <c r="J28" s="142">
        <f t="shared" si="13"/>
        <v>9352009.5999999996</v>
      </c>
      <c r="K28" s="142">
        <f t="shared" si="13"/>
        <v>6901787.4130339455</v>
      </c>
      <c r="L28" s="142">
        <f t="shared" si="13"/>
        <v>6663451.6987500004</v>
      </c>
      <c r="M28" s="142">
        <f t="shared" si="13"/>
        <v>618831.86210999999</v>
      </c>
      <c r="N28" s="142">
        <f t="shared" si="13"/>
        <v>5824436.2152899997</v>
      </c>
      <c r="O28" s="142">
        <f t="shared" si="13"/>
        <v>697634.42133000004</v>
      </c>
      <c r="P28" s="142">
        <f t="shared" si="13"/>
        <v>-363882.40581000003</v>
      </c>
      <c r="Q28" s="142">
        <f t="shared" si="13"/>
        <v>10408890.984029999</v>
      </c>
      <c r="R28" s="142">
        <f t="shared" si="13"/>
        <v>-340705.18251000001</v>
      </c>
      <c r="S28" s="142">
        <f t="shared" si="13"/>
        <v>-4127863.47</v>
      </c>
      <c r="T28" s="142">
        <f>T13+T18</f>
        <v>303964562.85912269</v>
      </c>
      <c r="U28" s="120">
        <f>SUM(U13,U18)</f>
        <v>37636165.816031113</v>
      </c>
      <c r="V28" s="122">
        <f t="shared" ref="V28:V34" si="14">U28/T28</f>
        <v>0.12381761038859719</v>
      </c>
      <c r="W28" s="120">
        <f>SUM(W13,W18)</f>
        <v>-29485449.75</v>
      </c>
      <c r="X28" s="122">
        <f t="shared" ref="X28:X33" si="15">W28/T28</f>
        <v>-9.700291860556623E-2</v>
      </c>
      <c r="Y28" s="120">
        <f>SUM(Y13,Y18)</f>
        <v>8150716.0660311151</v>
      </c>
      <c r="Z28" s="122">
        <f t="shared" ref="Z28:Z33" si="16">Y28/T28</f>
        <v>2.6814691783030961E-2</v>
      </c>
    </row>
    <row r="29" spans="2:26" s="136" customFormat="1" x14ac:dyDescent="0.25">
      <c r="B29" s="139" t="s">
        <v>189</v>
      </c>
      <c r="C29" s="140" t="s">
        <v>190</v>
      </c>
      <c r="D29" s="141">
        <f t="shared" ref="D29:E32" si="17">D14+D19</f>
        <v>82012496.764967203</v>
      </c>
      <c r="E29" s="142">
        <f t="shared" si="17"/>
        <v>22261797.053338237</v>
      </c>
      <c r="F29" s="119">
        <f t="shared" si="11"/>
        <v>0.27144396197492282</v>
      </c>
      <c r="G29" s="141">
        <f t="shared" si="13"/>
        <v>83479232</v>
      </c>
      <c r="H29" s="142">
        <f t="shared" si="13"/>
        <v>22575281.597202968</v>
      </c>
      <c r="I29" s="142">
        <f t="shared" si="13"/>
        <v>36299716.199999996</v>
      </c>
      <c r="J29" s="142">
        <f t="shared" si="13"/>
        <v>2501184.2999999998</v>
      </c>
      <c r="K29" s="142">
        <f t="shared" si="13"/>
        <v>2628290.3821405247</v>
      </c>
      <c r="L29" s="142">
        <f t="shared" si="13"/>
        <v>1785229.6112500001</v>
      </c>
      <c r="M29" s="142">
        <f t="shared" si="13"/>
        <v>107688.20928</v>
      </c>
      <c r="N29" s="142">
        <f t="shared" si="13"/>
        <v>838131.48927999998</v>
      </c>
      <c r="O29" s="142">
        <f t="shared" si="13"/>
        <v>140955.52061000001</v>
      </c>
      <c r="P29" s="142">
        <f t="shared" si="13"/>
        <v>-62609.423999999999</v>
      </c>
      <c r="Q29" s="142">
        <f t="shared" si="13"/>
        <v>1792299.1110399999</v>
      </c>
      <c r="R29" s="142">
        <f t="shared" si="13"/>
        <v>-46748.369919999997</v>
      </c>
      <c r="S29" s="142">
        <f t="shared" si="13"/>
        <v>-2859930.7399999998</v>
      </c>
      <c r="T29" s="142">
        <f>T14+T19</f>
        <v>65699487.88688349</v>
      </c>
      <c r="U29" s="120">
        <f>SUM(U14,U19)</f>
        <v>13809312.813788716</v>
      </c>
      <c r="V29" s="122">
        <f t="shared" si="14"/>
        <v>0.21018904801152435</v>
      </c>
      <c r="W29" s="120">
        <f>SUM(W14,W19)</f>
        <v>-10819330.440000003</v>
      </c>
      <c r="X29" s="122">
        <f t="shared" si="15"/>
        <v>-0.16467906810214297</v>
      </c>
      <c r="Y29" s="120">
        <f>SUM(Y14,Y19)</f>
        <v>2989982.3737887125</v>
      </c>
      <c r="Z29" s="122">
        <f t="shared" si="16"/>
        <v>4.5509979909381375E-2</v>
      </c>
    </row>
    <row r="30" spans="2:26" s="136" customFormat="1" x14ac:dyDescent="0.25">
      <c r="B30" s="139" t="s">
        <v>23</v>
      </c>
      <c r="C30" s="140" t="s">
        <v>191</v>
      </c>
      <c r="D30" s="141">
        <f t="shared" si="17"/>
        <v>88879730.522699013</v>
      </c>
      <c r="E30" s="142">
        <f t="shared" si="17"/>
        <v>9611990.370000001</v>
      </c>
      <c r="F30" s="119">
        <f t="shared" si="11"/>
        <v>0.10814603412355298</v>
      </c>
      <c r="G30" s="141">
        <f t="shared" si="13"/>
        <v>80604214</v>
      </c>
      <c r="H30" s="142">
        <f t="shared" si="13"/>
        <v>8710848.2509270851</v>
      </c>
      <c r="I30" s="142">
        <f t="shared" si="13"/>
        <v>9433565.2300000004</v>
      </c>
      <c r="J30" s="142">
        <f t="shared" si="13"/>
        <v>694292.84</v>
      </c>
      <c r="K30" s="142">
        <f t="shared" si="13"/>
        <v>2894197.0144112622</v>
      </c>
      <c r="L30" s="142">
        <f t="shared" si="13"/>
        <v>446059.84751999995</v>
      </c>
      <c r="M30" s="142">
        <f t="shared" si="13"/>
        <v>47938.647319222044</v>
      </c>
      <c r="N30" s="142">
        <f t="shared" si="13"/>
        <v>426396.29206000001</v>
      </c>
      <c r="O30" s="142">
        <f t="shared" si="13"/>
        <v>31762.775519999999</v>
      </c>
      <c r="P30" s="142">
        <f t="shared" si="13"/>
        <v>-36271.8963</v>
      </c>
      <c r="Q30" s="142">
        <f t="shared" si="13"/>
        <v>1029315.81278</v>
      </c>
      <c r="R30" s="142">
        <f t="shared" si="13"/>
        <v>-21763.137780000001</v>
      </c>
      <c r="S30" s="142">
        <f t="shared" si="13"/>
        <v>0</v>
      </c>
      <c r="T30" s="142">
        <f>T15+T20</f>
        <v>23656341.676457569</v>
      </c>
      <c r="U30" s="120">
        <f>SUM(U15,U20)</f>
        <v>12086315.86204385</v>
      </c>
      <c r="V30" s="122">
        <f t="shared" si="14"/>
        <v>0.51091229689466178</v>
      </c>
      <c r="W30" s="120">
        <f>SUM(W15,W20)</f>
        <v>-9469336.3200000003</v>
      </c>
      <c r="X30" s="122">
        <f t="shared" si="15"/>
        <v>-0.40028743452854926</v>
      </c>
      <c r="Y30" s="120">
        <f>SUM(Y15,Y20)</f>
        <v>2616979.5420438503</v>
      </c>
      <c r="Z30" s="122">
        <f t="shared" si="16"/>
        <v>0.11062486236611253</v>
      </c>
    </row>
    <row r="31" spans="2:26" s="136" customFormat="1" x14ac:dyDescent="0.25">
      <c r="B31" s="139" t="s">
        <v>192</v>
      </c>
      <c r="C31" s="140" t="s">
        <v>193</v>
      </c>
      <c r="D31" s="141">
        <f t="shared" si="17"/>
        <v>7491654.8276905455</v>
      </c>
      <c r="E31" s="142">
        <f t="shared" si="17"/>
        <v>1560031.02</v>
      </c>
      <c r="F31" s="119">
        <f t="shared" si="11"/>
        <v>0.20823583785972574</v>
      </c>
      <c r="G31" s="141">
        <f t="shared" si="13"/>
        <v>6112911</v>
      </c>
      <c r="H31" s="142">
        <f t="shared" si="13"/>
        <v>1271485.8802395421</v>
      </c>
      <c r="I31" s="142">
        <f t="shared" si="13"/>
        <v>2743827.45</v>
      </c>
      <c r="J31" s="142">
        <f t="shared" si="13"/>
        <v>197861.03</v>
      </c>
      <c r="K31" s="142">
        <f t="shared" si="13"/>
        <v>152435.48966999981</v>
      </c>
      <c r="L31" s="142">
        <f t="shared" si="13"/>
        <v>127024.32367999999</v>
      </c>
      <c r="M31" s="142">
        <f t="shared" si="13"/>
        <v>6846.4603200000001</v>
      </c>
      <c r="N31" s="142">
        <f t="shared" si="13"/>
        <v>41139.891029999999</v>
      </c>
      <c r="O31" s="142">
        <f t="shared" si="13"/>
        <v>2408.74298</v>
      </c>
      <c r="P31" s="142">
        <f t="shared" si="13"/>
        <v>-2200.6479600000002</v>
      </c>
      <c r="Q31" s="142">
        <f t="shared" si="13"/>
        <v>63635.403510000004</v>
      </c>
      <c r="R31" s="142">
        <f t="shared" si="13"/>
        <v>-2017.2606300000002</v>
      </c>
      <c r="S31" s="142">
        <f t="shared" si="13"/>
        <v>-159368.54999999999</v>
      </c>
      <c r="T31" s="142">
        <f>T16+T21</f>
        <v>4443078.212839542</v>
      </c>
      <c r="U31" s="120">
        <f>SUM(U16,U21)</f>
        <v>1012664.8362600002</v>
      </c>
      <c r="V31" s="122">
        <f t="shared" si="14"/>
        <v>0.22791965114042248</v>
      </c>
      <c r="W31" s="120">
        <f>SUM(W16,W21)</f>
        <v>-793395.35999999987</v>
      </c>
      <c r="X31" s="122">
        <f t="shared" si="15"/>
        <v>-0.17856884844098797</v>
      </c>
      <c r="Y31" s="120">
        <f>SUM(Y16,Y21)</f>
        <v>219269.47626000026</v>
      </c>
      <c r="Z31" s="122">
        <f t="shared" si="16"/>
        <v>4.9350802699434496E-2</v>
      </c>
    </row>
    <row r="32" spans="2:26" s="136" customFormat="1" x14ac:dyDescent="0.25">
      <c r="B32" s="144" t="s">
        <v>194</v>
      </c>
      <c r="C32" s="140" t="s">
        <v>195</v>
      </c>
      <c r="D32" s="141">
        <f t="shared" si="17"/>
        <v>119319881.40783478</v>
      </c>
      <c r="E32" s="142">
        <f t="shared" si="17"/>
        <v>6299906.5299999993</v>
      </c>
      <c r="F32" s="119">
        <f t="shared" si="11"/>
        <v>5.2798464561550719E-2</v>
      </c>
      <c r="G32" s="141">
        <f t="shared" si="13"/>
        <v>145546085</v>
      </c>
      <c r="H32" s="142">
        <f t="shared" si="13"/>
        <v>7568674.0374691198</v>
      </c>
      <c r="I32" s="142">
        <f t="shared" si="13"/>
        <v>11396526.43</v>
      </c>
      <c r="J32" s="142">
        <f t="shared" si="13"/>
        <v>838120.85</v>
      </c>
      <c r="K32" s="142">
        <f t="shared" si="13"/>
        <v>6812897.9879090907</v>
      </c>
      <c r="L32" s="142">
        <f t="shared" si="13"/>
        <v>538464.51439999999</v>
      </c>
      <c r="M32" s="142">
        <f t="shared" si="13"/>
        <v>33359.440664241687</v>
      </c>
      <c r="N32" s="142">
        <f t="shared" si="13"/>
        <v>548708.74045000004</v>
      </c>
      <c r="O32" s="142">
        <f t="shared" si="13"/>
        <v>16644.756359352024</v>
      </c>
      <c r="P32" s="142">
        <f t="shared" si="13"/>
        <v>-22956.034362071605</v>
      </c>
      <c r="Q32" s="142">
        <f t="shared" si="13"/>
        <v>665465.27854249359</v>
      </c>
      <c r="R32" s="142">
        <f t="shared" si="13"/>
        <v>-20376.4519</v>
      </c>
      <c r="S32" s="142">
        <f t="shared" si="13"/>
        <v>0</v>
      </c>
      <c r="T32" s="142">
        <f>T17+T22</f>
        <v>28375529.549532227</v>
      </c>
      <c r="U32" s="120">
        <f>SUM(U17,U22)</f>
        <v>6547729.8642726643</v>
      </c>
      <c r="V32" s="122">
        <f t="shared" si="14"/>
        <v>0.23075269319090483</v>
      </c>
      <c r="W32" s="120">
        <f>SUM(W17,W22)</f>
        <v>-5129987.6399999997</v>
      </c>
      <c r="X32" s="122">
        <f t="shared" si="15"/>
        <v>-0.18078914196279969</v>
      </c>
      <c r="Y32" s="120">
        <f>SUM(Y17,Y22)</f>
        <v>1417742.2242726646</v>
      </c>
      <c r="Z32" s="122">
        <f t="shared" si="16"/>
        <v>4.9963551228105141E-2</v>
      </c>
    </row>
    <row r="33" spans="2:26" s="136" customFormat="1" x14ac:dyDescent="0.25">
      <c r="B33" s="144" t="s">
        <v>36</v>
      </c>
      <c r="C33" s="139"/>
      <c r="D33" s="141">
        <f>D23</f>
        <v>32154478.538398605</v>
      </c>
      <c r="E33" s="142">
        <f>E23</f>
        <v>1699064.4523564125</v>
      </c>
      <c r="F33" s="119">
        <f t="shared" si="11"/>
        <v>5.2840678175744761E-2</v>
      </c>
      <c r="G33" s="141">
        <f>G23</f>
        <v>32000271</v>
      </c>
      <c r="H33" s="142">
        <f>H23</f>
        <v>1690916.021447618</v>
      </c>
      <c r="I33" s="142">
        <f t="shared" ref="I33:S33" si="18">I23</f>
        <v>0</v>
      </c>
      <c r="J33" s="142">
        <f t="shared" si="18"/>
        <v>0</v>
      </c>
      <c r="K33" s="142">
        <f t="shared" si="18"/>
        <v>244321.92173769884</v>
      </c>
      <c r="L33" s="142">
        <f t="shared" si="18"/>
        <v>0</v>
      </c>
      <c r="M33" s="142">
        <f t="shared" si="18"/>
        <v>0</v>
      </c>
      <c r="N33" s="142">
        <f t="shared" si="18"/>
        <v>30080.25474</v>
      </c>
      <c r="O33" s="142">
        <f t="shared" si="18"/>
        <v>0</v>
      </c>
      <c r="P33" s="142">
        <f t="shared" si="18"/>
        <v>0</v>
      </c>
      <c r="Q33" s="142">
        <f t="shared" si="18"/>
        <v>0</v>
      </c>
      <c r="R33" s="142">
        <f t="shared" si="18"/>
        <v>-2240.0189699999996</v>
      </c>
      <c r="S33" s="142">
        <f t="shared" si="18"/>
        <v>0</v>
      </c>
      <c r="T33" s="142">
        <f>T23</f>
        <v>1963078.1789553168</v>
      </c>
      <c r="U33" s="120">
        <f>U23</f>
        <v>2094715.4230322195</v>
      </c>
      <c r="V33" s="122">
        <f t="shared" si="14"/>
        <v>1.0670565469516633</v>
      </c>
      <c r="W33" s="120">
        <f>W23</f>
        <v>-1641158.3999999994</v>
      </c>
      <c r="X33" s="122">
        <f t="shared" si="15"/>
        <v>-0.83601275669691766</v>
      </c>
      <c r="Y33" s="120">
        <f>Y23</f>
        <v>453557.02303222008</v>
      </c>
      <c r="Z33" s="122">
        <f t="shared" si="16"/>
        <v>0.23104379025474556</v>
      </c>
    </row>
    <row r="34" spans="2:26" s="136" customFormat="1" x14ac:dyDescent="0.25">
      <c r="B34" s="144" t="s">
        <v>2</v>
      </c>
      <c r="C34" s="144"/>
      <c r="D34" s="145">
        <f>SUM(D27:D33)</f>
        <v>1172906987.0608532</v>
      </c>
      <c r="E34" s="146">
        <f>SUM(E27:E33)</f>
        <v>567196461.71043563</v>
      </c>
      <c r="F34" s="147">
        <f t="shared" si="11"/>
        <v>0.48358179119706113</v>
      </c>
      <c r="G34" s="145">
        <f>SUM(G27:G33)</f>
        <v>1138191623</v>
      </c>
      <c r="H34" s="146">
        <f>SUM(H27:H33)</f>
        <v>532420475.82430768</v>
      </c>
      <c r="I34" s="146">
        <f t="shared" ref="I34:S34" si="19">SUM(I27:I33)</f>
        <v>586395279.5200001</v>
      </c>
      <c r="J34" s="146">
        <f t="shared" si="19"/>
        <v>36131659.310000002</v>
      </c>
      <c r="K34" s="146">
        <f t="shared" si="19"/>
        <v>38252701.748629779</v>
      </c>
      <c r="L34" s="146">
        <f t="shared" si="19"/>
        <v>25622184.459350001</v>
      </c>
      <c r="M34" s="146">
        <f t="shared" si="19"/>
        <v>2580060.8116534636</v>
      </c>
      <c r="N34" s="146">
        <f t="shared" si="19"/>
        <v>20474654.952299993</v>
      </c>
      <c r="O34" s="146">
        <f t="shared" si="19"/>
        <v>2710692.1838193517</v>
      </c>
      <c r="P34" s="146">
        <f t="shared" si="19"/>
        <v>-1437670.7593320715</v>
      </c>
      <c r="Q34" s="146">
        <f t="shared" si="19"/>
        <v>41139226.925952487</v>
      </c>
      <c r="R34" s="146">
        <f t="shared" si="19"/>
        <v>-1199237.4691999999</v>
      </c>
      <c r="S34" s="146">
        <f t="shared" si="19"/>
        <v>-4554935.4400000004</v>
      </c>
      <c r="T34" s="146">
        <f>SUM(T27:T33)</f>
        <v>1278535092.0674808</v>
      </c>
      <c r="U34" s="127">
        <f>SUM(U27:U33)</f>
        <v>165737282.92724857</v>
      </c>
      <c r="V34" s="129">
        <f t="shared" si="14"/>
        <v>0.12963060924611758</v>
      </c>
      <c r="W34" s="127">
        <f>SUM(W27:W33)</f>
        <v>-138488541.55919611</v>
      </c>
      <c r="X34" s="129">
        <f>W34/T34</f>
        <v>-0.10831813879684009</v>
      </c>
      <c r="Y34" s="127">
        <f>SUM(Y27:Y33)</f>
        <v>27248741.368052468</v>
      </c>
      <c r="Z34" s="129">
        <f>Y34/T34</f>
        <v>2.1312470449277497E-2</v>
      </c>
    </row>
    <row r="35" spans="2:26" s="136" customFormat="1" x14ac:dyDescent="0.25">
      <c r="B35" s="148"/>
      <c r="C35" s="148"/>
      <c r="D35" s="148"/>
      <c r="E35" s="148"/>
      <c r="F35" s="148"/>
      <c r="I35" s="149"/>
      <c r="M35" s="148"/>
      <c r="O35" s="148"/>
      <c r="P35" s="148"/>
      <c r="Q35" s="148"/>
      <c r="R35" s="148"/>
      <c r="S35" s="148"/>
      <c r="T35" s="148"/>
      <c r="U35" s="150"/>
    </row>
    <row r="36" spans="2:26" ht="17.25" x14ac:dyDescent="0.25">
      <c r="B36" t="s">
        <v>196</v>
      </c>
    </row>
    <row r="37" spans="2:26" ht="17.25" x14ac:dyDescent="0.25">
      <c r="B37" t="s">
        <v>197</v>
      </c>
    </row>
  </sheetData>
  <mergeCells count="4">
    <mergeCell ref="B1:Z1"/>
    <mergeCell ref="B2:Z2"/>
    <mergeCell ref="B3:Z3"/>
    <mergeCell ref="B4:Z4"/>
  </mergeCells>
  <printOptions horizontalCentered="1"/>
  <pageMargins left="0.45" right="0.45" top="0.75" bottom="0.75" header="0.3" footer="0.3"/>
  <pageSetup paperSize="5" scale="57" orientation="landscape" blackAndWhite="1" r:id="rId1"/>
  <headerFooter>
    <oddFooter>&amp;L&amp;F 
&amp;A&amp;C&amp;P&amp;R&amp;D</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H48"/>
  <sheetViews>
    <sheetView zoomScale="90" zoomScaleNormal="90" workbookViewId="0">
      <selection activeCell="K17" sqref="K17"/>
    </sheetView>
  </sheetViews>
  <sheetFormatPr defaultColWidth="9.140625" defaultRowHeight="15" x14ac:dyDescent="0.25"/>
  <cols>
    <col min="1" max="1" width="2.140625" style="152" customWidth="1"/>
    <col min="2" max="2" width="2.42578125" style="152" customWidth="1"/>
    <col min="3" max="3" width="34.85546875" style="152" customWidth="1"/>
    <col min="4" max="5" width="11.85546875" style="152" customWidth="1"/>
    <col min="6" max="6" width="2.7109375" style="154" customWidth="1"/>
    <col min="7" max="8" width="11.85546875" style="152" customWidth="1"/>
    <col min="9" max="16384" width="9.140625" style="152"/>
  </cols>
  <sheetData>
    <row r="1" spans="2:8" x14ac:dyDescent="0.25">
      <c r="B1" s="151" t="s">
        <v>0</v>
      </c>
      <c r="C1" s="151"/>
      <c r="D1" s="151"/>
      <c r="E1" s="151"/>
      <c r="F1" s="151"/>
      <c r="G1" s="151"/>
      <c r="H1" s="151"/>
    </row>
    <row r="2" spans="2:8" x14ac:dyDescent="0.25">
      <c r="B2" s="151" t="str">
        <f>'Rate Impacts Sch 111'!B2</f>
        <v>2023 Gas Schedule 111 Greenhouse Gas Emissions Cap and Invest Adjustment Filing</v>
      </c>
      <c r="C2" s="151"/>
      <c r="D2" s="151"/>
      <c r="E2" s="151"/>
      <c r="F2" s="151"/>
      <c r="G2" s="151"/>
      <c r="H2" s="151"/>
    </row>
    <row r="3" spans="2:8" x14ac:dyDescent="0.25">
      <c r="B3" s="153" t="s">
        <v>198</v>
      </c>
      <c r="C3" s="153"/>
      <c r="D3" s="153"/>
      <c r="E3" s="153"/>
      <c r="F3" s="153"/>
      <c r="G3" s="153"/>
      <c r="H3" s="153"/>
    </row>
    <row r="4" spans="2:8" x14ac:dyDescent="0.25">
      <c r="B4" s="153" t="s">
        <v>106</v>
      </c>
      <c r="C4" s="153"/>
      <c r="D4" s="153"/>
      <c r="E4" s="153"/>
      <c r="F4" s="153"/>
      <c r="G4" s="153"/>
      <c r="H4" s="153"/>
    </row>
    <row r="6" spans="2:8" x14ac:dyDescent="0.25">
      <c r="G6" s="155" t="s">
        <v>199</v>
      </c>
      <c r="H6" s="155"/>
    </row>
    <row r="7" spans="2:8" x14ac:dyDescent="0.25">
      <c r="D7" s="156" t="s">
        <v>200</v>
      </c>
      <c r="E7" s="156"/>
      <c r="F7" s="157"/>
      <c r="G7" s="156" t="s">
        <v>201</v>
      </c>
      <c r="H7" s="156"/>
    </row>
    <row r="8" spans="2:8" ht="17.25" x14ac:dyDescent="0.25">
      <c r="D8" s="158" t="s">
        <v>202</v>
      </c>
      <c r="E8" s="158" t="s">
        <v>203</v>
      </c>
      <c r="F8" s="159"/>
      <c r="G8" s="158" t="s">
        <v>204</v>
      </c>
      <c r="H8" s="158" t="s">
        <v>203</v>
      </c>
    </row>
    <row r="9" spans="2:8" x14ac:dyDescent="0.25">
      <c r="B9" s="152" t="s">
        <v>205</v>
      </c>
      <c r="D9" s="160">
        <v>64</v>
      </c>
      <c r="E9" s="161"/>
      <c r="F9" s="162"/>
      <c r="G9" s="160">
        <v>64</v>
      </c>
      <c r="H9" s="161"/>
    </row>
    <row r="10" spans="2:8" x14ac:dyDescent="0.25">
      <c r="D10" s="160"/>
      <c r="E10" s="161"/>
      <c r="F10" s="162"/>
      <c r="G10" s="160"/>
      <c r="H10" s="161"/>
    </row>
    <row r="11" spans="2:8" x14ac:dyDescent="0.25">
      <c r="B11" s="152" t="s">
        <v>206</v>
      </c>
      <c r="D11" s="160"/>
      <c r="E11" s="161"/>
      <c r="F11" s="162"/>
      <c r="G11" s="160"/>
      <c r="H11" s="161"/>
    </row>
    <row r="12" spans="2:8" x14ac:dyDescent="0.25">
      <c r="C12" s="152" t="s">
        <v>207</v>
      </c>
      <c r="D12" s="194">
        <v>12.5</v>
      </c>
      <c r="E12" s="161">
        <f>D12</f>
        <v>12.5</v>
      </c>
      <c r="F12" s="164"/>
      <c r="G12" s="165">
        <f>$D$12</f>
        <v>12.5</v>
      </c>
      <c r="H12" s="161">
        <f>G12</f>
        <v>12.5</v>
      </c>
    </row>
    <row r="13" spans="2:8" x14ac:dyDescent="0.25">
      <c r="C13" s="152" t="s">
        <v>208</v>
      </c>
      <c r="D13" s="166">
        <f>SUM(D12:D12)</f>
        <v>12.5</v>
      </c>
      <c r="E13" s="166">
        <f>SUM(E12:E12)</f>
        <v>12.5</v>
      </c>
      <c r="F13" s="164"/>
      <c r="G13" s="166">
        <f>SUM(G12:G12)</f>
        <v>12.5</v>
      </c>
      <c r="H13" s="166">
        <f>SUM(H12:H12)</f>
        <v>12.5</v>
      </c>
    </row>
    <row r="14" spans="2:8" x14ac:dyDescent="0.25">
      <c r="D14" s="167"/>
      <c r="E14" s="167"/>
      <c r="F14" s="164"/>
      <c r="G14" s="167"/>
      <c r="H14" s="167"/>
    </row>
    <row r="15" spans="2:8" x14ac:dyDescent="0.25">
      <c r="C15" s="152" t="s">
        <v>209</v>
      </c>
      <c r="D15" s="163">
        <f>'Sch. 111 Credit'!$F$10</f>
        <v>-12.1</v>
      </c>
      <c r="E15" s="161">
        <f>D15</f>
        <v>-12.1</v>
      </c>
      <c r="F15" s="164"/>
      <c r="G15" s="163">
        <f>'Sch. 111 Credit'!$I$10</f>
        <v>-20.34</v>
      </c>
      <c r="H15" s="161">
        <f>G15</f>
        <v>-20.34</v>
      </c>
    </row>
    <row r="16" spans="2:8" x14ac:dyDescent="0.25">
      <c r="D16" s="168"/>
      <c r="E16" s="161"/>
      <c r="F16" s="164"/>
      <c r="G16" s="165"/>
      <c r="H16" s="161"/>
    </row>
    <row r="17" spans="2:8" x14ac:dyDescent="0.25">
      <c r="B17" s="152" t="s">
        <v>210</v>
      </c>
      <c r="E17" s="161"/>
      <c r="H17" s="161"/>
    </row>
    <row r="18" spans="2:8" x14ac:dyDescent="0.25">
      <c r="C18" s="152" t="s">
        <v>211</v>
      </c>
      <c r="D18" s="200">
        <v>0.45612999999999998</v>
      </c>
      <c r="E18" s="161"/>
      <c r="F18" s="170"/>
      <c r="G18" s="171">
        <f>$D$18</f>
        <v>0.45612999999999998</v>
      </c>
      <c r="H18" s="161"/>
    </row>
    <row r="19" spans="2:8" x14ac:dyDescent="0.25">
      <c r="C19" s="152" t="s">
        <v>212</v>
      </c>
      <c r="D19" s="169">
        <f>'Sch. 111 Charge'!$F$10</f>
        <v>0.24697</v>
      </c>
      <c r="E19" s="161"/>
      <c r="F19" s="170"/>
      <c r="G19" s="169">
        <f>'Sch. 111 Charge'!$I$10</f>
        <v>0.41263</v>
      </c>
      <c r="H19" s="161"/>
    </row>
    <row r="20" spans="2:8" x14ac:dyDescent="0.25">
      <c r="C20" s="152" t="s">
        <v>213</v>
      </c>
      <c r="D20" s="201">
        <v>3.16E-3</v>
      </c>
      <c r="E20" s="161"/>
      <c r="F20" s="170"/>
      <c r="G20" s="172">
        <f>$D$20</f>
        <v>3.16E-3</v>
      </c>
      <c r="H20" s="161"/>
    </row>
    <row r="21" spans="2:8" x14ac:dyDescent="0.25">
      <c r="C21" s="152" t="s">
        <v>214</v>
      </c>
      <c r="D21" s="201">
        <v>0</v>
      </c>
      <c r="E21" s="161"/>
      <c r="F21" s="170"/>
      <c r="G21" s="172">
        <f>$D$21</f>
        <v>0</v>
      </c>
      <c r="H21" s="161"/>
    </row>
    <row r="22" spans="2:8" x14ac:dyDescent="0.25">
      <c r="C22" s="152" t="s">
        <v>215</v>
      </c>
      <c r="D22" s="200">
        <v>2.2849999999999999E-2</v>
      </c>
      <c r="E22" s="161"/>
      <c r="F22" s="170"/>
      <c r="G22" s="172">
        <f>$D$22</f>
        <v>2.2849999999999999E-2</v>
      </c>
      <c r="H22" s="161"/>
    </row>
    <row r="23" spans="2:8" x14ac:dyDescent="0.25">
      <c r="C23" s="152" t="s">
        <v>216</v>
      </c>
      <c r="D23" s="200">
        <v>3.2599999999999999E-3</v>
      </c>
      <c r="E23" s="161"/>
      <c r="F23" s="170"/>
      <c r="G23" s="172">
        <f>$D$23</f>
        <v>3.2599999999999999E-3</v>
      </c>
      <c r="H23" s="161"/>
    </row>
    <row r="24" spans="2:8" x14ac:dyDescent="0.25">
      <c r="C24" s="152" t="s">
        <v>217</v>
      </c>
      <c r="D24" s="200">
        <v>-1.6999999999999999E-3</v>
      </c>
      <c r="E24" s="161"/>
      <c r="F24" s="170"/>
      <c r="G24" s="172">
        <f>$D$24</f>
        <v>-1.6999999999999999E-3</v>
      </c>
      <c r="H24" s="161"/>
    </row>
    <row r="25" spans="2:8" x14ac:dyDescent="0.25">
      <c r="C25" s="152" t="s">
        <v>218</v>
      </c>
      <c r="D25" s="200">
        <v>4.8649999999999999E-2</v>
      </c>
      <c r="E25" s="161"/>
      <c r="F25" s="170"/>
      <c r="G25" s="172">
        <f>$D$25</f>
        <v>4.8649999999999999E-2</v>
      </c>
      <c r="H25" s="161"/>
    </row>
    <row r="26" spans="2:8" x14ac:dyDescent="0.25">
      <c r="C26" s="152" t="s">
        <v>219</v>
      </c>
      <c r="D26" s="200">
        <v>-1.3699999999999999E-3</v>
      </c>
      <c r="E26" s="161"/>
      <c r="F26" s="170"/>
      <c r="G26" s="172">
        <f>$D$26</f>
        <v>-1.3699999999999999E-3</v>
      </c>
      <c r="H26" s="161"/>
    </row>
    <row r="27" spans="2:8" x14ac:dyDescent="0.25">
      <c r="C27" s="152" t="s">
        <v>220</v>
      </c>
      <c r="D27" s="200">
        <v>4.64E-3</v>
      </c>
      <c r="E27" s="161"/>
      <c r="F27" s="170"/>
      <c r="G27" s="172">
        <f>$D$27</f>
        <v>4.64E-3</v>
      </c>
      <c r="H27" s="161"/>
    </row>
    <row r="28" spans="2:8" x14ac:dyDescent="0.25">
      <c r="C28" s="152" t="s">
        <v>208</v>
      </c>
      <c r="D28" s="173">
        <f>SUM(D18:D27)</f>
        <v>0.78259000000000001</v>
      </c>
      <c r="E28" s="161">
        <f>ROUND(D28*D$9,2)</f>
        <v>50.09</v>
      </c>
      <c r="F28" s="170"/>
      <c r="G28" s="173">
        <f>SUM(G18:G27)</f>
        <v>0.94825000000000004</v>
      </c>
      <c r="H28" s="161">
        <f>ROUND(G28*G$9,2)</f>
        <v>60.69</v>
      </c>
    </row>
    <row r="30" spans="2:8" x14ac:dyDescent="0.25">
      <c r="C30" s="152" t="s">
        <v>221</v>
      </c>
      <c r="D30" s="200">
        <v>2.8750000000000001E-2</v>
      </c>
      <c r="E30" s="161">
        <f>ROUND(D30*D$9,2)</f>
        <v>1.84</v>
      </c>
      <c r="F30" s="170"/>
      <c r="G30" s="174">
        <f>$D$30</f>
        <v>2.8750000000000001E-2</v>
      </c>
      <c r="H30" s="161">
        <f>ROUND(G30*G$9,2)</f>
        <v>1.84</v>
      </c>
    </row>
    <row r="31" spans="2:8" x14ac:dyDescent="0.25">
      <c r="D31" s="200"/>
      <c r="E31" s="161"/>
      <c r="F31" s="170"/>
      <c r="G31" s="171"/>
      <c r="H31" s="161"/>
    </row>
    <row r="32" spans="2:8" x14ac:dyDescent="0.25">
      <c r="C32" s="152" t="s">
        <v>222</v>
      </c>
      <c r="D32" s="200">
        <v>0.69018999999999997</v>
      </c>
      <c r="E32" s="161"/>
      <c r="F32" s="170"/>
      <c r="G32" s="172">
        <f>$D$32</f>
        <v>0.69018999999999997</v>
      </c>
      <c r="H32" s="161"/>
    </row>
    <row r="33" spans="2:8" x14ac:dyDescent="0.25">
      <c r="C33" s="152" t="s">
        <v>223</v>
      </c>
      <c r="D33" s="200">
        <v>4.036E-2</v>
      </c>
      <c r="E33" s="161"/>
      <c r="F33" s="170"/>
      <c r="G33" s="172">
        <f>$D$33</f>
        <v>4.036E-2</v>
      </c>
      <c r="H33" s="161"/>
    </row>
    <row r="34" spans="2:8" x14ac:dyDescent="0.25">
      <c r="C34" s="152" t="s">
        <v>208</v>
      </c>
      <c r="D34" s="173">
        <f>SUM(D32:D33)</f>
        <v>0.73054999999999992</v>
      </c>
      <c r="E34" s="161">
        <f>ROUND(D34*D$9,2)</f>
        <v>46.76</v>
      </c>
      <c r="F34" s="170"/>
      <c r="G34" s="173">
        <f>SUM(G32:G33)</f>
        <v>0.73054999999999992</v>
      </c>
      <c r="H34" s="161">
        <f>ROUND(G34*G$9,2)</f>
        <v>46.76</v>
      </c>
    </row>
    <row r="35" spans="2:8" x14ac:dyDescent="0.25">
      <c r="C35" s="152" t="s">
        <v>224</v>
      </c>
      <c r="D35" s="173">
        <f>D28+D30+D34</f>
        <v>1.54189</v>
      </c>
      <c r="E35" s="175">
        <f>SUM(E28,E30,E34)</f>
        <v>98.69</v>
      </c>
      <c r="F35" s="176"/>
      <c r="G35" s="173">
        <f>G28+G30+G34</f>
        <v>1.7075499999999999</v>
      </c>
      <c r="H35" s="175">
        <f>SUM(H28,H30,H34)</f>
        <v>109.28999999999999</v>
      </c>
    </row>
    <row r="36" spans="2:8" x14ac:dyDescent="0.25">
      <c r="E36" s="161"/>
      <c r="H36" s="161"/>
    </row>
    <row r="37" spans="2:8" x14ac:dyDescent="0.25">
      <c r="B37" s="152" t="s">
        <v>225</v>
      </c>
      <c r="D37" s="165"/>
      <c r="E37" s="161">
        <f>E13+E15+E35</f>
        <v>99.09</v>
      </c>
      <c r="F37" s="167"/>
      <c r="G37" s="165"/>
      <c r="H37" s="161">
        <f>H13+H15+H35</f>
        <v>101.44999999999999</v>
      </c>
    </row>
    <row r="38" spans="2:8" x14ac:dyDescent="0.25">
      <c r="B38" s="152" t="s">
        <v>226</v>
      </c>
      <c r="D38" s="165"/>
      <c r="E38" s="161"/>
      <c r="F38" s="167"/>
      <c r="G38" s="165"/>
      <c r="H38" s="161">
        <f>H37-$E37</f>
        <v>2.3599999999999852</v>
      </c>
    </row>
    <row r="39" spans="2:8" x14ac:dyDescent="0.25">
      <c r="B39" s="152" t="s">
        <v>227</v>
      </c>
      <c r="D39" s="9"/>
      <c r="E39" s="9"/>
      <c r="F39" s="177"/>
      <c r="G39" s="9"/>
      <c r="H39" s="178">
        <f>H38/$E37</f>
        <v>2.3816732263598598E-2</v>
      </c>
    </row>
    <row r="40" spans="2:8" x14ac:dyDescent="0.25">
      <c r="E40" s="161"/>
    </row>
    <row r="41" spans="2:8" x14ac:dyDescent="0.25">
      <c r="B41" s="152" t="s">
        <v>228</v>
      </c>
      <c r="D41" s="171">
        <f>D28+D30</f>
        <v>0.81134000000000006</v>
      </c>
      <c r="E41" s="161"/>
      <c r="F41" s="176"/>
      <c r="G41" s="171">
        <f>G28+G30</f>
        <v>0.97700000000000009</v>
      </c>
    </row>
    <row r="43" spans="2:8" ht="17.25" x14ac:dyDescent="0.25">
      <c r="B43" s="179" t="s">
        <v>229</v>
      </c>
      <c r="D43" s="179"/>
      <c r="E43" s="179"/>
      <c r="F43" s="180"/>
      <c r="G43" s="180"/>
      <c r="H43" s="180"/>
    </row>
    <row r="48" spans="2:8" ht="14.25" customHeight="1" x14ac:dyDescent="0.25"/>
  </sheetData>
  <printOptions horizontalCentered="1"/>
  <pageMargins left="0.5" right="0.5" top="1" bottom="1" header="0.5" footer="0.5"/>
  <pageSetup scale="78" orientation="landscape" blackAndWhite="1" r:id="rId1"/>
  <headerFooter alignWithMargins="0">
    <oddFooter>&amp;L&amp;F  
&amp;A&amp;C&amp;P&amp;R&amp;D</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42"/>
  <sheetViews>
    <sheetView zoomScale="90" zoomScaleNormal="90" workbookViewId="0">
      <selection activeCell="I30" sqref="I30"/>
    </sheetView>
  </sheetViews>
  <sheetFormatPr defaultColWidth="8.7109375" defaultRowHeight="15" x14ac:dyDescent="0.25"/>
  <cols>
    <col min="1" max="1" width="37.7109375" style="39" customWidth="1"/>
    <col min="2" max="2" width="9.140625" style="39" bestFit="1" customWidth="1"/>
    <col min="3" max="3" width="18.5703125" style="39" bestFit="1" customWidth="1"/>
    <col min="4" max="9" width="13.7109375" style="39" customWidth="1"/>
    <col min="10" max="12" width="14.42578125" style="39" customWidth="1"/>
    <col min="13" max="13" width="7.85546875" style="39" bestFit="1" customWidth="1"/>
    <col min="14" max="16384" width="8.7109375" style="39"/>
  </cols>
  <sheetData>
    <row r="1" spans="1:25" s="152" customFormat="1" x14ac:dyDescent="0.25">
      <c r="A1" s="208" t="s">
        <v>0</v>
      </c>
      <c r="B1" s="208"/>
      <c r="C1" s="208"/>
      <c r="D1" s="208"/>
      <c r="E1" s="208"/>
      <c r="F1" s="208"/>
      <c r="G1" s="208"/>
      <c r="H1" s="208"/>
      <c r="I1" s="208"/>
      <c r="J1" s="208"/>
      <c r="K1" s="208"/>
      <c r="L1" s="208"/>
      <c r="M1" s="208"/>
      <c r="N1" s="153"/>
    </row>
    <row r="2" spans="1:25" s="152" customFormat="1" x14ac:dyDescent="0.25">
      <c r="A2" s="208" t="s">
        <v>257</v>
      </c>
      <c r="B2" s="209"/>
      <c r="C2" s="209"/>
      <c r="D2" s="209"/>
      <c r="E2" s="209"/>
      <c r="F2" s="209"/>
      <c r="G2" s="209"/>
      <c r="H2" s="209"/>
      <c r="I2" s="209"/>
      <c r="J2" s="209"/>
      <c r="K2" s="209"/>
      <c r="L2" s="209"/>
      <c r="M2" s="209"/>
      <c r="N2" s="181"/>
      <c r="O2" s="182"/>
      <c r="P2" s="182"/>
      <c r="Q2" s="182"/>
      <c r="R2" s="182"/>
      <c r="S2" s="182"/>
      <c r="T2" s="182"/>
      <c r="U2" s="182"/>
      <c r="V2" s="182"/>
      <c r="W2" s="182"/>
      <c r="X2" s="182"/>
      <c r="Y2" s="182"/>
    </row>
    <row r="3" spans="1:25" s="152" customFormat="1" x14ac:dyDescent="0.25">
      <c r="A3" s="208" t="s">
        <v>230</v>
      </c>
      <c r="B3" s="208"/>
      <c r="C3" s="208"/>
      <c r="D3" s="208"/>
      <c r="E3" s="208"/>
      <c r="F3" s="208"/>
      <c r="G3" s="208"/>
      <c r="H3" s="208"/>
      <c r="I3" s="208"/>
      <c r="J3" s="208"/>
      <c r="K3" s="208"/>
      <c r="L3" s="208"/>
      <c r="M3" s="208"/>
      <c r="N3" s="153"/>
    </row>
    <row r="4" spans="1:25" s="152" customFormat="1" x14ac:dyDescent="0.25">
      <c r="A4" s="208" t="s">
        <v>106</v>
      </c>
      <c r="B4" s="208"/>
      <c r="C4" s="208"/>
      <c r="D4" s="208"/>
      <c r="E4" s="208"/>
      <c r="F4" s="208"/>
      <c r="G4" s="208"/>
      <c r="H4" s="208"/>
      <c r="I4" s="208"/>
      <c r="J4" s="208"/>
      <c r="K4" s="208"/>
      <c r="L4" s="208"/>
      <c r="M4" s="208"/>
      <c r="N4" s="153"/>
    </row>
    <row r="5" spans="1:25" x14ac:dyDescent="0.25">
      <c r="F5" s="107"/>
      <c r="G5" s="107"/>
      <c r="H5" s="107"/>
      <c r="I5" s="107"/>
    </row>
    <row r="6" spans="1:25" x14ac:dyDescent="0.25">
      <c r="D6" s="205" t="s">
        <v>200</v>
      </c>
      <c r="E6" s="206"/>
      <c r="F6" s="207"/>
      <c r="G6" s="205" t="s">
        <v>231</v>
      </c>
      <c r="H6" s="206"/>
      <c r="I6" s="207"/>
    </row>
    <row r="7" spans="1:25" x14ac:dyDescent="0.25">
      <c r="A7" s="59"/>
      <c r="B7" s="59"/>
      <c r="C7" s="59" t="s">
        <v>130</v>
      </c>
      <c r="D7" s="59" t="s">
        <v>5</v>
      </c>
      <c r="E7" s="59" t="s">
        <v>5</v>
      </c>
      <c r="F7" s="59" t="s">
        <v>2</v>
      </c>
      <c r="G7" s="59" t="s">
        <v>5</v>
      </c>
      <c r="H7" s="59" t="s">
        <v>5</v>
      </c>
      <c r="I7" s="59" t="s">
        <v>2</v>
      </c>
      <c r="J7" s="183" t="s">
        <v>130</v>
      </c>
      <c r="K7" s="183" t="s">
        <v>130</v>
      </c>
      <c r="L7" s="59" t="s">
        <v>232</v>
      </c>
      <c r="M7" s="59"/>
      <c r="V7" s="184"/>
      <c r="W7" s="184"/>
      <c r="X7" s="184"/>
    </row>
    <row r="8" spans="1:25" x14ac:dyDescent="0.25">
      <c r="A8" s="59"/>
      <c r="B8" s="59" t="s">
        <v>135</v>
      </c>
      <c r="C8" s="59" t="s">
        <v>233</v>
      </c>
      <c r="D8" s="59" t="s">
        <v>94</v>
      </c>
      <c r="E8" s="59" t="s">
        <v>234</v>
      </c>
      <c r="F8" s="59" t="s">
        <v>232</v>
      </c>
      <c r="G8" s="59" t="s">
        <v>94</v>
      </c>
      <c r="H8" s="59" t="s">
        <v>234</v>
      </c>
      <c r="I8" s="59" t="s">
        <v>232</v>
      </c>
      <c r="J8" s="183" t="s">
        <v>4</v>
      </c>
      <c r="K8" s="183" t="s">
        <v>4</v>
      </c>
      <c r="L8" s="59" t="s">
        <v>4</v>
      </c>
      <c r="M8" s="59" t="s">
        <v>150</v>
      </c>
      <c r="V8" s="184"/>
      <c r="W8" s="184"/>
      <c r="X8" s="184"/>
    </row>
    <row r="9" spans="1:25" x14ac:dyDescent="0.25">
      <c r="A9" s="60" t="s">
        <v>7</v>
      </c>
      <c r="B9" s="60" t="s">
        <v>153</v>
      </c>
      <c r="C9" s="87" t="s">
        <v>134</v>
      </c>
      <c r="D9" s="46" t="s">
        <v>204</v>
      </c>
      <c r="E9" s="46" t="s">
        <v>204</v>
      </c>
      <c r="F9" s="60" t="s">
        <v>204</v>
      </c>
      <c r="G9" s="46" t="s">
        <v>204</v>
      </c>
      <c r="H9" s="46" t="s">
        <v>204</v>
      </c>
      <c r="I9" s="60" t="s">
        <v>204</v>
      </c>
      <c r="J9" s="158" t="s">
        <v>200</v>
      </c>
      <c r="K9" s="158" t="s">
        <v>231</v>
      </c>
      <c r="L9" s="60" t="s">
        <v>159</v>
      </c>
      <c r="M9" s="60" t="s">
        <v>159</v>
      </c>
      <c r="V9" s="184"/>
      <c r="W9" s="185"/>
      <c r="X9" s="184"/>
    </row>
    <row r="10" spans="1:25" x14ac:dyDescent="0.25">
      <c r="A10" s="39" t="s">
        <v>19</v>
      </c>
      <c r="B10" s="107">
        <v>23</v>
      </c>
      <c r="C10" s="199">
        <v>558669681</v>
      </c>
      <c r="D10" s="186">
        <v>0.24697</v>
      </c>
      <c r="E10" s="186">
        <v>0</v>
      </c>
      <c r="F10" s="187">
        <f>SUM(D10:E10)</f>
        <v>0.24697</v>
      </c>
      <c r="G10" s="186">
        <v>0.24697</v>
      </c>
      <c r="H10" s="188">
        <f>'Sch. 111 Charge Rates'!G11</f>
        <v>0.16566</v>
      </c>
      <c r="I10" s="187">
        <f>SUM(G10:H10)</f>
        <v>0.41263</v>
      </c>
      <c r="J10" s="121">
        <f>C10*F10</f>
        <v>137974651.11657</v>
      </c>
      <c r="K10" s="121">
        <f>C10*I10</f>
        <v>230523870.47103</v>
      </c>
      <c r="L10" s="61">
        <f>K10-J10</f>
        <v>92549219.354460001</v>
      </c>
      <c r="M10" s="69">
        <f>L10/J10</f>
        <v>0.67076972911689681</v>
      </c>
      <c r="V10" s="184"/>
      <c r="W10" s="189"/>
      <c r="X10" s="184"/>
    </row>
    <row r="11" spans="1:25" x14ac:dyDescent="0.25">
      <c r="A11" s="39" t="s">
        <v>20</v>
      </c>
      <c r="B11" s="107">
        <v>16</v>
      </c>
      <c r="C11" s="47">
        <v>6996</v>
      </c>
      <c r="D11" s="186">
        <v>0.24697</v>
      </c>
      <c r="E11" s="186">
        <v>0</v>
      </c>
      <c r="F11" s="187">
        <f t="shared" ref="F11:F22" si="0">SUM(D11:E11)</f>
        <v>0.24697</v>
      </c>
      <c r="G11" s="186">
        <v>0.24697</v>
      </c>
      <c r="H11" s="188">
        <f>'Sch. 111 Charge Rates'!G12</f>
        <v>0.16566</v>
      </c>
      <c r="I11" s="187">
        <f t="shared" ref="I11:I22" si="1">SUM(G11:H11)</f>
        <v>0.41263</v>
      </c>
      <c r="J11" s="121">
        <f t="shared" ref="J11:J21" si="2">C11*F11</f>
        <v>1727.8021200000001</v>
      </c>
      <c r="K11" s="121">
        <f t="shared" ref="K11:K22" si="3">C11*I11</f>
        <v>2886.7594800000002</v>
      </c>
      <c r="L11" s="61">
        <f t="shared" ref="L11:L22" si="4">K11-J11</f>
        <v>1158.9573600000001</v>
      </c>
      <c r="M11" s="69">
        <f t="shared" ref="M11:M22" si="5">L11/J11</f>
        <v>0.67076972911689681</v>
      </c>
      <c r="V11" s="184"/>
      <c r="W11" s="184"/>
      <c r="X11" s="184"/>
    </row>
    <row r="12" spans="1:25" x14ac:dyDescent="0.25">
      <c r="A12" s="39" t="s">
        <v>21</v>
      </c>
      <c r="B12" s="107">
        <v>31</v>
      </c>
      <c r="C12" s="199">
        <v>227188265.77152669</v>
      </c>
      <c r="D12" s="186">
        <v>0.24697</v>
      </c>
      <c r="E12" s="186">
        <v>0</v>
      </c>
      <c r="F12" s="187">
        <f t="shared" si="0"/>
        <v>0.24697</v>
      </c>
      <c r="G12" s="186">
        <v>0.24697</v>
      </c>
      <c r="H12" s="188">
        <f>'Sch. 111 Charge Rates'!G13</f>
        <v>0.16566</v>
      </c>
      <c r="I12" s="187">
        <f t="shared" si="1"/>
        <v>0.41263</v>
      </c>
      <c r="J12" s="121">
        <f t="shared" si="2"/>
        <v>56108685.997593947</v>
      </c>
      <c r="K12" s="121">
        <f t="shared" si="3"/>
        <v>93744694.105305061</v>
      </c>
      <c r="L12" s="61">
        <f t="shared" si="4"/>
        <v>37636008.107711114</v>
      </c>
      <c r="M12" s="69">
        <f t="shared" si="5"/>
        <v>0.67076972911689681</v>
      </c>
      <c r="V12" s="184"/>
      <c r="W12" s="184"/>
      <c r="X12" s="184"/>
    </row>
    <row r="13" spans="1:25" x14ac:dyDescent="0.25">
      <c r="A13" s="39" t="s">
        <v>22</v>
      </c>
      <c r="B13" s="107">
        <v>41</v>
      </c>
      <c r="C13" s="199">
        <v>61975078.462204017</v>
      </c>
      <c r="D13" s="186">
        <v>0.24697</v>
      </c>
      <c r="E13" s="186">
        <v>0</v>
      </c>
      <c r="F13" s="187">
        <f t="shared" si="0"/>
        <v>0.24697</v>
      </c>
      <c r="G13" s="186">
        <v>0.24697</v>
      </c>
      <c r="H13" s="188">
        <f>'Sch. 111 Charge Rates'!G14</f>
        <v>0.16566</v>
      </c>
      <c r="I13" s="187">
        <f t="shared" si="1"/>
        <v>0.41263</v>
      </c>
      <c r="J13" s="121">
        <f t="shared" si="2"/>
        <v>15305985.127810527</v>
      </c>
      <c r="K13" s="121">
        <f t="shared" si="3"/>
        <v>25572776.625859242</v>
      </c>
      <c r="L13" s="61">
        <f t="shared" si="4"/>
        <v>10266791.498048715</v>
      </c>
      <c r="M13" s="69">
        <f t="shared" si="5"/>
        <v>0.67076972911689658</v>
      </c>
    </row>
    <row r="14" spans="1:25" x14ac:dyDescent="0.25">
      <c r="A14" s="39" t="s">
        <v>23</v>
      </c>
      <c r="B14" s="107">
        <v>85</v>
      </c>
      <c r="C14" s="199">
        <v>14409118.879922818</v>
      </c>
      <c r="D14" s="186">
        <v>0.24697</v>
      </c>
      <c r="E14" s="186">
        <v>0</v>
      </c>
      <c r="F14" s="187">
        <f t="shared" si="0"/>
        <v>0.24697</v>
      </c>
      <c r="G14" s="186">
        <v>0.24697</v>
      </c>
      <c r="H14" s="188">
        <f>'Sch. 111 Charge Rates'!G15</f>
        <v>0.16566</v>
      </c>
      <c r="I14" s="187">
        <f t="shared" si="1"/>
        <v>0.41263</v>
      </c>
      <c r="J14" s="121">
        <f t="shared" si="2"/>
        <v>3558620.0897745383</v>
      </c>
      <c r="K14" s="121">
        <f t="shared" si="3"/>
        <v>5945634.7234225525</v>
      </c>
      <c r="L14" s="61">
        <f t="shared" si="4"/>
        <v>2387014.6336480142</v>
      </c>
      <c r="M14" s="69">
        <f t="shared" si="5"/>
        <v>0.67076972911689681</v>
      </c>
    </row>
    <row r="15" spans="1:25" x14ac:dyDescent="0.25">
      <c r="A15" s="39" t="s">
        <v>24</v>
      </c>
      <c r="B15" s="107">
        <v>86</v>
      </c>
      <c r="C15" s="199">
        <v>4915802</v>
      </c>
      <c r="D15" s="186">
        <v>0.24697</v>
      </c>
      <c r="E15" s="186">
        <v>0</v>
      </c>
      <c r="F15" s="187">
        <f t="shared" si="0"/>
        <v>0.24697</v>
      </c>
      <c r="G15" s="186">
        <v>0.24697</v>
      </c>
      <c r="H15" s="188">
        <f>'Sch. 111 Charge Rates'!G16</f>
        <v>0.16566</v>
      </c>
      <c r="I15" s="187">
        <f t="shared" si="1"/>
        <v>0.41263</v>
      </c>
      <c r="J15" s="121">
        <f t="shared" si="2"/>
        <v>1214055.6199399999</v>
      </c>
      <c r="K15" s="121">
        <f t="shared" si="3"/>
        <v>2028407.3792600001</v>
      </c>
      <c r="L15" s="61">
        <f t="shared" si="4"/>
        <v>814351.75932000019</v>
      </c>
      <c r="M15" s="69">
        <f t="shared" si="5"/>
        <v>0.67076972911689703</v>
      </c>
    </row>
    <row r="16" spans="1:25" x14ac:dyDescent="0.25">
      <c r="A16" s="39" t="s">
        <v>25</v>
      </c>
      <c r="B16" s="107">
        <v>87</v>
      </c>
      <c r="C16" s="199">
        <v>1561022.556906593</v>
      </c>
      <c r="D16" s="186">
        <v>0.24697</v>
      </c>
      <c r="E16" s="186">
        <v>0</v>
      </c>
      <c r="F16" s="187">
        <f t="shared" si="0"/>
        <v>0.24697</v>
      </c>
      <c r="G16" s="186">
        <v>0.24697</v>
      </c>
      <c r="H16" s="188">
        <f>'Sch. 111 Charge Rates'!G17</f>
        <v>0.16566</v>
      </c>
      <c r="I16" s="187">
        <f t="shared" si="1"/>
        <v>0.41263</v>
      </c>
      <c r="J16" s="121">
        <f t="shared" si="2"/>
        <v>385525.7408792213</v>
      </c>
      <c r="K16" s="121">
        <f t="shared" si="3"/>
        <v>644124.73765636748</v>
      </c>
      <c r="L16" s="61">
        <f t="shared" si="4"/>
        <v>258598.99677714618</v>
      </c>
      <c r="M16" s="69">
        <f t="shared" si="5"/>
        <v>0.6707697291168967</v>
      </c>
    </row>
    <row r="17" spans="1:13" x14ac:dyDescent="0.25">
      <c r="A17" s="39" t="s">
        <v>26</v>
      </c>
      <c r="B17" s="107" t="s">
        <v>27</v>
      </c>
      <c r="C17" s="199">
        <v>952</v>
      </c>
      <c r="D17" s="186">
        <v>0.24697</v>
      </c>
      <c r="E17" s="186">
        <v>0</v>
      </c>
      <c r="F17" s="187">
        <f t="shared" si="0"/>
        <v>0.24697</v>
      </c>
      <c r="G17" s="186">
        <v>0.24697</v>
      </c>
      <c r="H17" s="188">
        <f>'Sch. 111 Charge Rates'!$G$13</f>
        <v>0.16566</v>
      </c>
      <c r="I17" s="187">
        <f t="shared" si="1"/>
        <v>0.41263</v>
      </c>
      <c r="J17" s="121">
        <f t="shared" si="2"/>
        <v>235.11544000000001</v>
      </c>
      <c r="K17" s="121">
        <f t="shared" si="3"/>
        <v>392.82375999999999</v>
      </c>
      <c r="L17" s="61">
        <f t="shared" si="4"/>
        <v>157.70831999999999</v>
      </c>
      <c r="M17" s="69">
        <f t="shared" si="5"/>
        <v>0.6707697291168967</v>
      </c>
    </row>
    <row r="18" spans="1:13" x14ac:dyDescent="0.25">
      <c r="A18" s="39" t="s">
        <v>28</v>
      </c>
      <c r="B18" s="107" t="s">
        <v>29</v>
      </c>
      <c r="C18" s="199">
        <v>21384289</v>
      </c>
      <c r="D18" s="186">
        <v>0.24697</v>
      </c>
      <c r="E18" s="186">
        <v>0</v>
      </c>
      <c r="F18" s="187">
        <f t="shared" si="0"/>
        <v>0.24697</v>
      </c>
      <c r="G18" s="186">
        <v>0.24697</v>
      </c>
      <c r="H18" s="188">
        <f>'Sch. 111 Charge Rates'!G19</f>
        <v>0.16566</v>
      </c>
      <c r="I18" s="187">
        <f t="shared" si="1"/>
        <v>0.41263</v>
      </c>
      <c r="J18" s="121">
        <f t="shared" si="2"/>
        <v>5281277.8543299995</v>
      </c>
      <c r="K18" s="121">
        <f t="shared" si="3"/>
        <v>8823799.17007</v>
      </c>
      <c r="L18" s="61">
        <f t="shared" si="4"/>
        <v>3542521.3157400005</v>
      </c>
      <c r="M18" s="69">
        <f t="shared" si="5"/>
        <v>0.67076972911689692</v>
      </c>
    </row>
    <row r="19" spans="1:13" x14ac:dyDescent="0.25">
      <c r="A19" s="39" t="s">
        <v>30</v>
      </c>
      <c r="B19" s="107" t="s">
        <v>31</v>
      </c>
      <c r="C19" s="199">
        <v>58549446.024362169</v>
      </c>
      <c r="D19" s="186">
        <v>0.24697</v>
      </c>
      <c r="E19" s="186">
        <v>0</v>
      </c>
      <c r="F19" s="187">
        <f t="shared" si="0"/>
        <v>0.24697</v>
      </c>
      <c r="G19" s="186">
        <v>0.24697</v>
      </c>
      <c r="H19" s="188">
        <f>'Sch. 111 Charge Rates'!G20</f>
        <v>0.16566</v>
      </c>
      <c r="I19" s="187">
        <f t="shared" si="1"/>
        <v>0.41263</v>
      </c>
      <c r="J19" s="121">
        <f t="shared" si="2"/>
        <v>14459956.684636725</v>
      </c>
      <c r="K19" s="121">
        <f t="shared" si="3"/>
        <v>24159257.913032562</v>
      </c>
      <c r="L19" s="61">
        <f t="shared" si="4"/>
        <v>9699301.2283958364</v>
      </c>
      <c r="M19" s="69">
        <f t="shared" si="5"/>
        <v>0.6707697291168967</v>
      </c>
    </row>
    <row r="20" spans="1:13" x14ac:dyDescent="0.25">
      <c r="A20" s="39" t="s">
        <v>32</v>
      </c>
      <c r="B20" s="107" t="s">
        <v>33</v>
      </c>
      <c r="C20" s="199">
        <v>1197109</v>
      </c>
      <c r="D20" s="186">
        <v>0.24697</v>
      </c>
      <c r="E20" s="186">
        <v>0</v>
      </c>
      <c r="F20" s="187">
        <f t="shared" si="0"/>
        <v>0.24697</v>
      </c>
      <c r="G20" s="186">
        <v>0.24697</v>
      </c>
      <c r="H20" s="188">
        <f>'Sch. 111 Charge Rates'!G21</f>
        <v>0.16566</v>
      </c>
      <c r="I20" s="187">
        <f t="shared" si="1"/>
        <v>0.41263</v>
      </c>
      <c r="J20" s="121">
        <f t="shared" si="2"/>
        <v>295650.00972999999</v>
      </c>
      <c r="K20" s="121">
        <f t="shared" si="3"/>
        <v>493963.08666999999</v>
      </c>
      <c r="L20" s="61">
        <f t="shared" si="4"/>
        <v>198313.07694</v>
      </c>
      <c r="M20" s="69">
        <f t="shared" si="5"/>
        <v>0.67076972911689681</v>
      </c>
    </row>
    <row r="21" spans="1:13" x14ac:dyDescent="0.25">
      <c r="A21" s="39" t="s">
        <v>34</v>
      </c>
      <c r="B21" s="107" t="s">
        <v>35</v>
      </c>
      <c r="C21" s="199">
        <v>37964088.298294812</v>
      </c>
      <c r="D21" s="186">
        <v>0.24697</v>
      </c>
      <c r="E21" s="186">
        <v>0</v>
      </c>
      <c r="F21" s="187">
        <f t="shared" si="0"/>
        <v>0.24697</v>
      </c>
      <c r="G21" s="186">
        <v>0.24697</v>
      </c>
      <c r="H21" s="188">
        <f>'Sch. 111 Charge Rates'!G22</f>
        <v>0.16566</v>
      </c>
      <c r="I21" s="187">
        <f t="shared" si="1"/>
        <v>0.41263</v>
      </c>
      <c r="J21" s="121">
        <f t="shared" si="2"/>
        <v>9375990.8870298695</v>
      </c>
      <c r="K21" s="121">
        <f t="shared" si="3"/>
        <v>15665121.754525388</v>
      </c>
      <c r="L21" s="61">
        <f t="shared" si="4"/>
        <v>6289130.8674955182</v>
      </c>
      <c r="M21" s="69">
        <f t="shared" si="5"/>
        <v>0.67076972911689681</v>
      </c>
    </row>
    <row r="22" spans="1:13" x14ac:dyDescent="0.25">
      <c r="A22" s="39" t="s">
        <v>36</v>
      </c>
      <c r="B22" s="107"/>
      <c r="C22" s="199">
        <v>12644666.322782926</v>
      </c>
      <c r="D22" s="186">
        <v>0.24697</v>
      </c>
      <c r="E22" s="186">
        <v>0</v>
      </c>
      <c r="F22" s="187">
        <f t="shared" si="0"/>
        <v>0.24697</v>
      </c>
      <c r="G22" s="186">
        <v>0.24697</v>
      </c>
      <c r="H22" s="188">
        <f>'Sch. 111 Charge Rates'!G23</f>
        <v>0.16566</v>
      </c>
      <c r="I22" s="187">
        <f t="shared" si="1"/>
        <v>0.41263</v>
      </c>
      <c r="J22" s="121">
        <f>C22*F22</f>
        <v>3122853.2417376991</v>
      </c>
      <c r="K22" s="121">
        <f t="shared" si="3"/>
        <v>5217568.6647699187</v>
      </c>
      <c r="L22" s="61">
        <f t="shared" si="4"/>
        <v>2094715.4230322195</v>
      </c>
      <c r="M22" s="69">
        <f t="shared" si="5"/>
        <v>0.67076972911689681</v>
      </c>
    </row>
    <row r="23" spans="1:13" x14ac:dyDescent="0.25">
      <c r="A23" s="39" t="s">
        <v>2</v>
      </c>
      <c r="C23" s="51">
        <f>SUM(C10:C22)</f>
        <v>1000466515.316</v>
      </c>
      <c r="D23" s="190"/>
      <c r="E23" s="190"/>
      <c r="F23" s="187"/>
      <c r="G23" s="187"/>
      <c r="H23" s="187"/>
      <c r="I23" s="187"/>
      <c r="J23" s="128">
        <f t="shared" ref="J23:L23" si="6">SUM(J10:J22)</f>
        <v>247085215.28759253</v>
      </c>
      <c r="K23" s="128">
        <f t="shared" si="6"/>
        <v>412822498.21484107</v>
      </c>
      <c r="L23" s="67">
        <f t="shared" si="6"/>
        <v>165737282.92724854</v>
      </c>
      <c r="M23" s="66">
        <f>L23/J23</f>
        <v>0.6707697291168967</v>
      </c>
    </row>
    <row r="24" spans="1:13" x14ac:dyDescent="0.25">
      <c r="J24" s="61"/>
      <c r="K24" s="61"/>
    </row>
    <row r="25" spans="1:13" x14ac:dyDescent="0.25">
      <c r="C25" s="52"/>
      <c r="D25" s="52"/>
      <c r="E25" s="52"/>
      <c r="J25" s="61"/>
      <c r="K25" s="61"/>
    </row>
    <row r="26" spans="1:13" x14ac:dyDescent="0.25">
      <c r="A26" s="191"/>
      <c r="B26" s="184"/>
      <c r="C26" s="184"/>
      <c r="D26" s="184"/>
      <c r="E26" s="184"/>
      <c r="F26" s="184"/>
      <c r="G26" s="184"/>
      <c r="H26" s="184"/>
      <c r="I26" s="184"/>
      <c r="J26" s="184"/>
      <c r="K26" s="184"/>
      <c r="L26" s="184"/>
    </row>
    <row r="27" spans="1:13" x14ac:dyDescent="0.25">
      <c r="B27" s="184"/>
      <c r="C27" s="184"/>
      <c r="D27" s="184"/>
      <c r="E27" s="184"/>
      <c r="F27" s="184"/>
      <c r="G27" s="184"/>
      <c r="H27" s="184"/>
      <c r="I27" s="184"/>
      <c r="J27" s="184"/>
      <c r="K27" s="184"/>
      <c r="L27" s="184"/>
    </row>
    <row r="42" spans="2:2" ht="17.25" x14ac:dyDescent="0.25">
      <c r="B42" s="192"/>
    </row>
  </sheetData>
  <mergeCells count="6">
    <mergeCell ref="A1:M1"/>
    <mergeCell ref="A2:M2"/>
    <mergeCell ref="A3:M3"/>
    <mergeCell ref="A4:M4"/>
    <mergeCell ref="D6:F6"/>
    <mergeCell ref="G6:I6"/>
  </mergeCells>
  <printOptions horizontalCentered="1"/>
  <pageMargins left="0.7" right="0.7" top="0.75" bottom="0.75" header="0.3" footer="0.3"/>
  <pageSetup scale="84" orientation="landscape" blackAndWhite="1" r:id="rId1"/>
  <headerFooter>
    <oddFooter>&amp;L&amp;F 
&amp;A&amp;C&amp;P&amp;R&amp;D</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C687ED6A7F6D2B45BE755C0399C2E018" ma:contentTypeVersion="24" ma:contentTypeDescription="" ma:contentTypeScope="" ma:versionID="dfbe6af4c75890b9f8af96d28ea435c8">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43d1e58e9723df997e85f06fba2dda68"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haredContentType xmlns="Microsoft.SharePoint.Taxonomy.ContentTypeSync" SourceId="015f1b76-b32e-440f-80a7-f0ca4d8a872c" ContentTypeId="0x0101006E56B4D1795A2E4DB2F0B01679ED314A" PreviousValue="true"/>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UG</Prefix>
    <DocumentSetType xmlns="dc463f71-b30c-4ab2-9473-d307f9d35888">Workpapers</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150</IndustryCode>
    <CaseStatus xmlns="dc463f71-b30c-4ab2-9473-d307f9d35888">Closed</CaseStatus>
    <OpenedDate xmlns="dc463f71-b30c-4ab2-9473-d307f9d35888">2023-09-15T07:00:00+00:00</OpenedDate>
    <SignificantOrder xmlns="dc463f71-b30c-4ab2-9473-d307f9d35888">false</SignificantOrder>
    <Date1 xmlns="dc463f71-b30c-4ab2-9473-d307f9d35888">2023-09-15T07:00:00+00:00</Date1>
    <IsDocumentOrder xmlns="dc463f71-b30c-4ab2-9473-d307f9d35888">false</IsDocumentOrder>
    <IsHighlyConfidential xmlns="dc463f71-b30c-4ab2-9473-d307f9d35888">false</IsHighlyConfidential>
    <CaseCompanyNames xmlns="dc463f71-b30c-4ab2-9473-d307f9d35888">Puget Sound Energy</CaseCompanyNames>
    <Nickname xmlns="http://schemas.microsoft.com/sharepoint/v3" xsi:nil="true"/>
    <DocketNumber xmlns="dc463f71-b30c-4ab2-9473-d307f9d35888">230756</DocketNumber>
    <DelegatedOrder xmlns="dc463f71-b30c-4ab2-9473-d307f9d35888">false</DelegatedOrder>
  </documentManagement>
</p:properties>
</file>

<file path=customXml/itemProps1.xml><?xml version="1.0" encoding="utf-8"?>
<ds:datastoreItem xmlns:ds="http://schemas.openxmlformats.org/officeDocument/2006/customXml" ds:itemID="{F93D7CE4-77AD-4929-8CAA-F5A2F6E4673E}"/>
</file>

<file path=customXml/itemProps2.xml><?xml version="1.0" encoding="utf-8"?>
<ds:datastoreItem xmlns:ds="http://schemas.openxmlformats.org/officeDocument/2006/customXml" ds:itemID="{67C8E3DE-7650-445A-90F4-246B500216C9}"/>
</file>

<file path=customXml/itemProps3.xml><?xml version="1.0" encoding="utf-8"?>
<ds:datastoreItem xmlns:ds="http://schemas.openxmlformats.org/officeDocument/2006/customXml" ds:itemID="{70C75592-3097-4945-A836-4A719EFE1A8F}"/>
</file>

<file path=customXml/itemProps4.xml><?xml version="1.0" encoding="utf-8"?>
<ds:datastoreItem xmlns:ds="http://schemas.openxmlformats.org/officeDocument/2006/customXml" ds:itemID="{D501FAC9-63C1-4F53-94CF-3BB36A56CD3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16</vt:i4>
      </vt:variant>
    </vt:vector>
  </HeadingPairs>
  <TitlesOfParts>
    <vt:vector size="32" baseType="lpstr">
      <vt:lpstr>Sch. 111 Rate Summary</vt:lpstr>
      <vt:lpstr>Sch. 111 Charge Rates</vt:lpstr>
      <vt:lpstr>Sch. 111 Low Inc. Credit Rates</vt:lpstr>
      <vt:lpstr>Sch. 111 Non-Vol Credit Rates</vt:lpstr>
      <vt:lpstr>Sch.111 Non-Vol Credit Seasonal</vt:lpstr>
      <vt:lpstr>Rate Impacts--&gt;</vt:lpstr>
      <vt:lpstr>Rate Impacts Sch 111</vt:lpstr>
      <vt:lpstr>Typical Res Bill Sch 111</vt:lpstr>
      <vt:lpstr>Sch. 111 Charge</vt:lpstr>
      <vt:lpstr>Sch. 111 Credit</vt:lpstr>
      <vt:lpstr>Work Papers--&gt;</vt:lpstr>
      <vt:lpstr>Rev Req</vt:lpstr>
      <vt:lpstr>Low Income Forecast</vt:lpstr>
      <vt:lpstr>CCA Therm Forecast</vt:lpstr>
      <vt:lpstr>CCA Customer Forecast</vt:lpstr>
      <vt:lpstr>F2023 Forecast</vt:lpstr>
      <vt:lpstr>'CCA Customer Forecast'!Print_Area</vt:lpstr>
      <vt:lpstr>'CCA Therm Forecast'!Print_Area</vt:lpstr>
      <vt:lpstr>'F2023 Forecast'!Print_Area</vt:lpstr>
      <vt:lpstr>'Low Income Forecast'!Print_Area</vt:lpstr>
      <vt:lpstr>'Rate Impacts Sch 111'!Print_Area</vt:lpstr>
      <vt:lpstr>'Sch. 111 Charge'!Print_Area</vt:lpstr>
      <vt:lpstr>'Sch. 111 Charge Rates'!Print_Area</vt:lpstr>
      <vt:lpstr>'Sch. 111 Credit'!Print_Area</vt:lpstr>
      <vt:lpstr>'Sch. 111 Low Inc. Credit Rates'!Print_Area</vt:lpstr>
      <vt:lpstr>'Sch. 111 Non-Vol Credit Rates'!Print_Area</vt:lpstr>
      <vt:lpstr>'Sch. 111 Rate Summary'!Print_Area</vt:lpstr>
      <vt:lpstr>'Sch.111 Non-Vol Credit Seasonal'!Print_Area</vt:lpstr>
      <vt:lpstr>'Typical Res Bill Sch 111'!Print_Area</vt:lpstr>
      <vt:lpstr>'CCA Customer Forecast'!Print_Titles</vt:lpstr>
      <vt:lpstr>'CCA Therm Forecast'!Print_Titles</vt:lpstr>
      <vt:lpstr>'Sch. 111 Rate Summary'!Print_Titles</vt:lpstr>
    </vt:vector>
  </TitlesOfParts>
  <Company>PUGET SOUND ENERGY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Schmidt, Paul</dc:creator>
  <cp:lastModifiedBy>Schmidt, Paul</cp:lastModifiedBy>
  <cp:lastPrinted>2023-09-15T06:48:52Z</cp:lastPrinted>
  <dcterms:created xsi:type="dcterms:W3CDTF">2023-05-22T00:13:46Z</dcterms:created>
  <dcterms:modified xsi:type="dcterms:W3CDTF">2023-09-15T18:36:19Z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0x0101006E56B4D1795A2E4DB2F0B01679ED314A00C687ED6A7F6D2B45BE755C0399C2E018</vt:lpwstr>
  </property>
  <property fmtid="{D5CDD505-2E9C-101B-9397-08002B2CF9AE}" pid="3" name="_docset_NoMedatataSyncRequired">
    <vt:lpwstr>False</vt:lpwstr>
  </property>
</Properties>
</file>