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J:\Regulatory Filings\2023 Regulatory Filings\I937 Filings\2023 EEI Annual EIA Report\Annual Emissions Calculations\"/>
    </mc:Choice>
  </mc:AlternateContent>
  <xr:revisionPtr revIDLastSave="0" documentId="13_ncr:1_{59778CAF-1994-48D7-B393-2A80E7B36FF6}" xr6:coauthVersionLast="47" xr6:coauthVersionMax="47" xr10:uidLastSave="{00000000-0000-0000-0000-000000000000}"/>
  <bookViews>
    <workbookView xWindow="1035" yWindow="1035" windowWidth="20520" windowHeight="11790" xr2:uid="{00000000-000D-0000-FFFF-FFFF00000000}"/>
  </bookViews>
  <sheets>
    <sheet name="Summary" sheetId="1" r:id="rId1"/>
    <sheet name="Known Resources" sheetId="4" r:id="rId2"/>
    <sheet name="Unknown Resourc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D21" i="1"/>
  <c r="D18" i="1"/>
  <c r="F18" i="1"/>
  <c r="D41" i="4"/>
  <c r="D9" i="4" l="1"/>
  <c r="D7" i="4"/>
  <c r="D6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D42" i="4" l="1"/>
  <c r="F56" i="8" l="1"/>
  <c r="F57" i="8"/>
  <c r="B43" i="4"/>
  <c r="T4" i="4" l="1"/>
  <c r="U4" i="4" s="1"/>
  <c r="T5" i="4"/>
  <c r="U5" i="4" s="1"/>
  <c r="T6" i="4"/>
  <c r="U6" i="4" s="1"/>
  <c r="T7" i="4"/>
  <c r="U7" i="4" s="1"/>
  <c r="D4" i="4" s="1"/>
  <c r="T8" i="4"/>
  <c r="U8" i="4" s="1"/>
  <c r="T9" i="4"/>
  <c r="U9" i="4" s="1"/>
  <c r="D8" i="4" s="1"/>
  <c r="D5" i="4" l="1"/>
  <c r="D19" i="4"/>
  <c r="C19" i="4" s="1"/>
  <c r="C9" i="4"/>
  <c r="C8" i="4"/>
  <c r="C7" i="4"/>
  <c r="G24" i="1" l="1"/>
  <c r="G30" i="1"/>
  <c r="G31" i="1"/>
  <c r="G29" i="1"/>
  <c r="F6" i="8" l="1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" i="8"/>
  <c r="F62" i="8" l="1"/>
  <c r="C4" i="4" l="1"/>
  <c r="C5" i="4"/>
  <c r="D28" i="4" l="1"/>
  <c r="D29" i="4"/>
  <c r="D25" i="4"/>
  <c r="D26" i="4"/>
  <c r="C13" i="4" l="1"/>
  <c r="C14" i="4"/>
  <c r="C15" i="4"/>
  <c r="C16" i="4"/>
  <c r="C17" i="4"/>
  <c r="C18" i="4"/>
  <c r="B1" i="4" l="1"/>
  <c r="C2" i="4"/>
  <c r="B3" i="4"/>
  <c r="D22" i="1"/>
  <c r="G11" i="1"/>
  <c r="G10" i="1"/>
  <c r="D13" i="1"/>
  <c r="D5" i="1" s="1"/>
  <c r="E10" i="1" l="1"/>
  <c r="E12" i="1"/>
  <c r="E11" i="1"/>
  <c r="D40" i="4"/>
  <c r="D39" i="4"/>
  <c r="D38" i="4"/>
  <c r="D37" i="4"/>
  <c r="D36" i="4"/>
  <c r="D35" i="4"/>
  <c r="D34" i="4"/>
  <c r="D33" i="4"/>
  <c r="D32" i="4"/>
  <c r="D31" i="4"/>
  <c r="D30" i="4"/>
  <c r="D27" i="4"/>
  <c r="D24" i="4"/>
  <c r="D23" i="4"/>
  <c r="D22" i="4"/>
  <c r="D21" i="4"/>
  <c r="D20" i="4"/>
  <c r="D43" i="4" l="1"/>
  <c r="E18" i="1"/>
  <c r="E21" i="1"/>
  <c r="G20" i="8" l="1"/>
  <c r="G38" i="8"/>
  <c r="C6" i="4" l="1"/>
  <c r="C43" i="4"/>
  <c r="F3" i="8" l="1"/>
  <c r="G14" i="8"/>
  <c r="G28" i="8"/>
  <c r="G30" i="8"/>
  <c r="G22" i="8"/>
  <c r="G51" i="8"/>
  <c r="G16" i="8"/>
  <c r="G19" i="8"/>
  <c r="G31" i="8"/>
  <c r="G11" i="8"/>
  <c r="G29" i="8"/>
  <c r="G44" i="8"/>
  <c r="G5" i="8" l="1"/>
  <c r="G56" i="8"/>
  <c r="G10" i="8"/>
  <c r="G49" i="8"/>
  <c r="G39" i="8"/>
  <c r="G26" i="8"/>
  <c r="G42" i="8"/>
  <c r="G17" i="8"/>
  <c r="G23" i="8"/>
  <c r="G50" i="8"/>
  <c r="G13" i="8"/>
  <c r="G52" i="8"/>
  <c r="G48" i="8"/>
  <c r="G43" i="8"/>
  <c r="G34" i="8"/>
  <c r="G41" i="8"/>
  <c r="G8" i="8"/>
  <c r="G33" i="8"/>
  <c r="G55" i="8"/>
  <c r="G32" i="8"/>
  <c r="G7" i="8"/>
  <c r="G9" i="8"/>
  <c r="G53" i="8"/>
  <c r="G18" i="8"/>
  <c r="G45" i="8"/>
  <c r="G6" i="8"/>
  <c r="G36" i="8"/>
  <c r="G25" i="8"/>
  <c r="G24" i="8"/>
  <c r="G47" i="8"/>
  <c r="G35" i="8"/>
  <c r="G27" i="8"/>
  <c r="G12" i="8"/>
  <c r="G54" i="8"/>
  <c r="G37" i="8"/>
  <c r="G46" i="8"/>
  <c r="G21" i="8"/>
  <c r="G15" i="8"/>
  <c r="G57" i="8"/>
  <c r="G40" i="8"/>
  <c r="G62" i="8" l="1"/>
  <c r="F22" i="1" s="1"/>
  <c r="G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Lyons, John</author>
    <author>kbb8737</author>
    <author>jyl3501</author>
    <author>kkb4463</author>
    <author>Booth, Kevin</author>
    <author>Loeppky, Janna</author>
  </authors>
  <commentList>
    <comment ref="U4" authorId="0" shapeId="0" xr:uid="{93E2C937-E88B-4CBB-BF64-73A8FC5778F1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Adjustment for CH4 and N2O combined and recorded on Rathdrum Unit 1</t>
        </r>
      </text>
    </comment>
    <comment ref="T7" authorId="0" shapeId="0" xr:uid="{72BBED01-1669-4A11-8367-DD46934D0D0F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for Avista's 15% ownership share
</t>
        </r>
      </text>
    </comment>
    <comment ref="U7" authorId="0" shapeId="0" xr:uid="{D6363AD4-5074-4F18-A6EA-83A140DE4BC1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Adjustments for both units for CH4 and N2O added to Colstrip Unit 3</t>
        </r>
      </text>
    </comment>
    <comment ref="T8" authorId="0" shapeId="0" xr:uid="{EFAAE530-6C4C-4FC4-B633-D466CADC9F54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for Avista's 15% ownership share</t>
        </r>
      </text>
    </comment>
    <comment ref="I9" authorId="1" shapeId="0" xr:uid="{D95F2E00-E1B8-49A8-B039-3B27908C012C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includes de minimis amount of natual gas (&lt;0.1% of total)</t>
        </r>
      </text>
    </comment>
    <comment ref="A20" authorId="2" shapeId="0" xr:uid="{00000000-0006-0000-0100-000002000000}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BPA changed to an unknown resource per UTC request.</t>
        </r>
      </text>
    </comment>
    <comment ref="I21" authorId="3" shapeId="0" xr:uid="{E2760FF4-C27A-436A-A744-7F1F9FC410FB}">
      <text>
        <r>
          <rPr>
            <sz val="8"/>
            <color indexed="81"/>
            <rFont val="Tahoma"/>
            <family val="2"/>
          </rPr>
          <t xml:space="preserve">Avista Corp. FERC Financial Report, Form No. 1, unless otherwise noted
</t>
        </r>
      </text>
    </comment>
    <comment ref="K21" authorId="3" shapeId="0" xr:uid="{6F3C9631-478B-40A8-AD48-41C6C4D88BFB}">
      <text>
        <r>
          <rPr>
            <b/>
            <sz val="8"/>
            <color indexed="81"/>
            <rFont val="Tahoma"/>
            <family val="2"/>
          </rPr>
          <t>Avista Corp.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1" authorId="3" shapeId="0" xr:uid="{AA51AD4D-9C0E-45EC-B351-390F0ED3B4B2}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3" shapeId="0" xr:uid="{D1E24A15-1BB5-4CFA-916A-8E9DF34EAD78}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21" authorId="3" shapeId="0" xr:uid="{407A54A8-EDC9-4249-8F6A-1A442FDED27F}">
      <text>
        <r>
          <rPr>
            <b/>
            <sz val="8"/>
            <color indexed="81"/>
            <rFont val="Tahoma"/>
            <family val="2"/>
          </rPr>
          <t>Total from EPA Part 75 EDR for respective plant and year, when available.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1" authorId="1" shapeId="0" xr:uid="{4A1A059A-401B-4D78-AD1B-32845CDFACE9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 total CT NG use from emission inventory for KFGS </t>
        </r>
      </text>
    </comment>
    <comment ref="I32" authorId="4" shapeId="0" xr:uid="{F4DB25C2-3DD4-44B8-B495-A75A11E41606}">
      <text>
        <r>
          <rPr>
            <b/>
            <sz val="9"/>
            <color indexed="81"/>
            <rFont val="Tahoma"/>
            <family val="2"/>
          </rPr>
          <t>Booth, Kevin:</t>
        </r>
        <r>
          <rPr>
            <sz val="9"/>
            <color indexed="81"/>
            <rFont val="Tahoma"/>
            <family val="2"/>
          </rPr>
          <t xml:space="preserve">
Boiler NG use from emission inventory for KFGS </t>
        </r>
      </text>
    </comment>
    <comment ref="A34" authorId="0" shapeId="0" xr:uid="{F18E6B27-BD2B-4F65-884A-326C412105AE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Sewer Plant Digester is now generating into its own load.</t>
        </r>
      </text>
    </comment>
    <comment ref="Y34" authorId="5" shapeId="0" xr:uid="{C012577E-9607-49A3-8E85-87658B3D7189}">
      <text>
        <r>
          <rPr>
            <b/>
            <sz val="9"/>
            <color indexed="81"/>
            <rFont val="Tahoma"/>
            <charset val="1"/>
          </rPr>
          <t>Loeppky, Janna:</t>
        </r>
        <r>
          <rPr>
            <sz val="9"/>
            <color indexed="81"/>
            <rFont val="Tahoma"/>
            <charset val="1"/>
          </rPr>
          <t xml:space="preserve">
Download from Acid Rain Program (ARP) on CAMD
ampd.epa.gov/ampd/</t>
        </r>
      </text>
    </comment>
    <comment ref="P37" authorId="1" shapeId="0" xr:uid="{8A5375D1-1ADB-4DF8-99F6-4BE0729CA41E}">
      <text>
        <r>
          <rPr>
            <b/>
            <sz val="8"/>
            <color indexed="81"/>
            <rFont val="Tahoma"/>
            <family val="2"/>
          </rPr>
          <t xml:space="preserve">all values from USEPA 40 CFR 98 Table C-2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37" authorId="1" shapeId="0" xr:uid="{E68E42A3-1F2F-4652-98C1-2F4C0AB39E56}">
      <text>
        <r>
          <rPr>
            <b/>
            <sz val="8"/>
            <color indexed="81"/>
            <rFont val="Tahoma"/>
            <family val="2"/>
          </rPr>
          <t xml:space="preserve">all values from USEPA 40 CFR 98 Table C-2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3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<sst xmlns="http://schemas.openxmlformats.org/spreadsheetml/2006/main" count="501" uniqueCount="268">
  <si>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</si>
  <si>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</si>
  <si>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</si>
  <si>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</si>
  <si>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</si>
  <si>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</si>
  <si>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</si>
  <si>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</si>
  <si>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</si>
  <si>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</si>
  <si>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</si>
  <si>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</si>
  <si>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</si>
  <si>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</si>
  <si>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</si>
  <si>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</si>
  <si>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</si>
  <si>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</si>
  <si>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</si>
  <si>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</si>
  <si>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</si>
  <si>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t>MWh Proportion</t>
  </si>
  <si>
    <t>Percent of</t>
  </si>
  <si>
    <t>Total Load</t>
  </si>
  <si>
    <t>WA MWh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</si>
  <si>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</si>
  <si>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</si>
  <si>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</si>
  <si>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</si>
  <si>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</si>
  <si>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</si>
  <si>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</si>
  <si>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</si>
  <si>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</si>
  <si>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</si>
  <si>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</si>
  <si>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</si>
  <si>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</si>
  <si>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</si>
  <si>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</si>
  <si>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</si>
  <si>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</si>
  <si>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</si>
  <si>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</si>
  <si>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</si>
  <si>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</si>
  <si>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</si>
  <si>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Kootenai Electric Cooperative</t>
  </si>
  <si>
    <t>Macquarie Energy LLC</t>
  </si>
  <si>
    <t>Morgan Stanley Capital Group</t>
  </si>
  <si>
    <t>PacifiCorp</t>
  </si>
  <si>
    <t>Lancaster</t>
  </si>
  <si>
    <t>Sovereign Power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</si>
  <si>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</si>
  <si>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</si>
  <si>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</si>
  <si>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</si>
  <si>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</si>
  <si>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</si>
  <si>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</si>
  <si>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</si>
  <si>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</si>
  <si>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</si>
  <si>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</si>
  <si>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</si>
  <si>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</si>
  <si>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</si>
  <si>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Long Lake-Hydro</t>
  </si>
  <si>
    <t>Upper Falls-Hydro</t>
  </si>
  <si>
    <t>Cabinet Gorge-Hydro</t>
  </si>
  <si>
    <t>Noxon Rapids-Hydro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</si>
  <si>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</si>
  <si>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</si>
  <si>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</si>
  <si>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</si>
  <si>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</si>
  <si>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</si>
  <si>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</si>
  <si>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</si>
  <si>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</si>
  <si>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</si>
  <si>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</si>
  <si>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</si>
  <si>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</si>
  <si>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</si>
  <si>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</si>
  <si>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</si>
  <si>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</si>
  <si>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</si>
  <si>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</si>
  <si>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</si>
  <si>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</si>
  <si>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</si>
  <si>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</si>
  <si>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</si>
  <si>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</si>
  <si>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</si>
  <si>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</si>
  <si>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</si>
  <si>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</si>
  <si>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</si>
  <si>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</si>
  <si>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</si>
  <si>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</si>
  <si>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</si>
  <si>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</si>
  <si>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</si>
  <si>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</si>
  <si>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</si>
  <si>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</si>
  <si>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</si>
  <si>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</si>
  <si>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</si>
  <si>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</si>
  <si>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</si>
  <si>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</si>
  <si>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</si>
  <si>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</si>
  <si>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</si>
  <si>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Bonneville Power Administration</t>
  </si>
  <si>
    <t>Palouse Wind Holdings (Wind PPA)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</si>
  <si>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</si>
  <si>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</si>
  <si>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</si>
  <si>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</si>
  <si>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</si>
  <si>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</si>
  <si>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</si>
  <si>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</si>
  <si>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</si>
  <si>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</si>
  <si>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</si>
  <si>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</si>
  <si>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</si>
  <si>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</si>
  <si>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</si>
  <si>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</si>
  <si>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</si>
  <si>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</si>
  <si>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</si>
  <si>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</si>
  <si>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</si>
  <si>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</si>
  <si>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</si>
  <si>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Turlock Irrigation District</t>
  </si>
  <si>
    <t xml:space="preserve"> Gross Load (MW-h)</t>
  </si>
  <si>
    <t>Stimson Lumber Co. (PURPA Biomass)</t>
  </si>
  <si>
    <t>Ford Electronics (PURPA Hydro)</t>
  </si>
  <si>
    <t xml:space="preserve">Unknown Resources for Washington Customers </t>
  </si>
  <si>
    <t>Avista =</t>
  </si>
  <si>
    <t>Net Purchase</t>
  </si>
  <si>
    <t xml:space="preserve">Kettle Falls Boiler </t>
  </si>
  <si>
    <t xml:space="preserve"> </t>
  </si>
  <si>
    <t>Tenaska Power Services Co.</t>
  </si>
  <si>
    <t>Kettle Falls CT (Natural Gas)</t>
  </si>
  <si>
    <t>Chelan County PUD No. 1 (Hydro - 5% share of Rocky Reach and Rock Island Dams)</t>
  </si>
  <si>
    <t>Grant County Public Utility (3.7% share of Priest Rapids and Wanapum Dams)</t>
  </si>
  <si>
    <t>Hydro Technology Systems (PURPA Hydro)</t>
  </si>
  <si>
    <t>Jim White (PURPA Hydro)</t>
  </si>
  <si>
    <t>Phillips Ranch (PURPA Hydro)</t>
  </si>
  <si>
    <t>Sheep Creek Hydro (PURPA Hydro)</t>
  </si>
  <si>
    <t>Spokane City of (Upriver Hydro Project)</t>
  </si>
  <si>
    <t>PUD No 1 of Pend Oreille Cnty (Box Canyon and Boundary Dams)</t>
  </si>
  <si>
    <t>PUD No 1 of Pend Oreille Cnty (Box Canyon and Boundary Dam)</t>
  </si>
  <si>
    <t>Community Solar (Boulder Park Solar)</t>
  </si>
  <si>
    <t>Deep Creek Energy, LLC (PURPA Hydro)</t>
  </si>
  <si>
    <t>Vitol Inc.</t>
  </si>
  <si>
    <t>Little Falls-Hydro</t>
  </si>
  <si>
    <t>MWh</t>
  </si>
  <si>
    <t>MW</t>
  </si>
  <si>
    <t>Type</t>
  </si>
  <si>
    <t>Adams-Neilson Solar</t>
  </si>
  <si>
    <t>The City of Cove (PURPA Hydro)</t>
  </si>
  <si>
    <t>Clark Fork Hydro (PURPA Hydro)</t>
  </si>
  <si>
    <t>Spokane County (Sewer Plant Digester)</t>
  </si>
  <si>
    <t>Known Resource Serving WA - EPA</t>
  </si>
  <si>
    <t>Known Resource Serving WA - EIA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</si>
  <si>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</si>
  <si>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PUD of Douglas County (% share of Wells Dam)</t>
  </si>
  <si>
    <t>Rattlesnake Flat, LLC (Wind)</t>
  </si>
  <si>
    <t>Washington Department of Ecology Unknown Resource Default Rate =</t>
  </si>
  <si>
    <t>Metric Tons CO2e from Purchases</t>
  </si>
  <si>
    <t>N</t>
  </si>
  <si>
    <t>O</t>
  </si>
  <si>
    <t>(Y or N)</t>
  </si>
  <si>
    <t>Y</t>
  </si>
  <si>
    <t>CH4 Emission factor</t>
  </si>
  <si>
    <t>N2O Emission factor</t>
  </si>
  <si>
    <t>Units for 
J</t>
  </si>
  <si>
    <t>CH4 emissions in kg</t>
  </si>
  <si>
    <t xml:space="preserve">N2O emissions in kg </t>
  </si>
  <si>
    <t>M = F * H * L</t>
  </si>
  <si>
    <t>N = F * J * L</t>
  </si>
  <si>
    <t>kg CH4/GJ</t>
  </si>
  <si>
    <t>kg N2O/GJ</t>
  </si>
  <si>
    <t>MMBtu</t>
  </si>
  <si>
    <t>kg/Mmbtu</t>
  </si>
  <si>
    <t>Mmbtu/bbl</t>
  </si>
  <si>
    <t>Mmbtu/ton</t>
  </si>
  <si>
    <r>
      <t>Metric Tons CO</t>
    </r>
    <r>
      <rPr>
        <b/>
        <vertAlign val="subscript"/>
        <sz val="11"/>
        <color theme="1"/>
        <rFont val="Calibri"/>
        <family val="2"/>
        <scheme val="minor"/>
      </rPr>
      <t>2e</t>
    </r>
    <r>
      <rPr>
        <b/>
        <sz val="11"/>
        <color theme="1"/>
        <rFont val="Calibri"/>
        <family val="2"/>
        <scheme val="minor"/>
      </rPr>
      <t>/MWh</t>
    </r>
  </si>
  <si>
    <t>Metric</t>
  </si>
  <si>
    <t xml:space="preserve">Kettle Falls (Biomass)  </t>
  </si>
  <si>
    <t>Lancaster (Rathdrum)</t>
  </si>
  <si>
    <t>CO2 Metric Tons</t>
  </si>
  <si>
    <t>CO2e Metric Tons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</si>
  <si>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2e</t>
    </r>
    <r>
      <rPr>
        <sz val="11"/>
        <color theme="1"/>
        <rFont val="Calibri"/>
        <family val="2"/>
        <scheme val="minor"/>
      </rPr>
      <t xml:space="preserve"> per MWh</t>
    </r>
  </si>
  <si>
    <t>Avangrid Renewables, LLC</t>
  </si>
  <si>
    <t>Enel X North America, Inc.</t>
  </si>
  <si>
    <t>Guzman Energy, LLC</t>
  </si>
  <si>
    <t>Gridforce Energy Management, LLC</t>
  </si>
  <si>
    <t>Macquarie Energy, LLC</t>
  </si>
  <si>
    <t>NextEra Energy Power Marketing, LLC</t>
  </si>
  <si>
    <t>British Columbia Hydro and Power Authority</t>
  </si>
  <si>
    <t>Talen Energy Montana, LLC</t>
  </si>
  <si>
    <t>NaturEner Power Watch, LLC</t>
  </si>
  <si>
    <t>Eugene Water Electric Board</t>
  </si>
  <si>
    <t>Great Northern Spokane (Solar)</t>
  </si>
  <si>
    <t>Total MT, CO2e (CH4 + N2O)</t>
  </si>
  <si>
    <r>
      <t>1990 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</si>
  <si>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Arizona Public Service Co.</t>
  </si>
  <si>
    <t>Bonneville Power Admin</t>
  </si>
  <si>
    <t>BP Energy Co Inc</t>
  </si>
  <si>
    <t>Brookfield Energy Marketing</t>
  </si>
  <si>
    <t>California Independent System Operator Corporation</t>
  </si>
  <si>
    <t>Calpine Energy Services, L.P.</t>
  </si>
  <si>
    <t>Clatskanie Peoples Utility Dis</t>
  </si>
  <si>
    <t>ConocoPhillips Co.</t>
  </si>
  <si>
    <t>Constellation Energy Generation, LLC</t>
  </si>
  <si>
    <t>CP Energy Marketing (US) Inc.</t>
  </si>
  <si>
    <t>Dynasty Power, Inc.</t>
  </si>
  <si>
    <t>EDF Trading Ltd.</t>
  </si>
  <si>
    <t>Energy Keepers, Inc.</t>
  </si>
  <si>
    <t>Engy Authrty</t>
  </si>
  <si>
    <t>Eugene City of</t>
  </si>
  <si>
    <t>Grant County Public Utility</t>
  </si>
  <si>
    <t>Heartland Generation Ltd.</t>
  </si>
  <si>
    <t>Idaho Cnty Light &amp; Power Coop</t>
  </si>
  <si>
    <t>Idaho Power Co.</t>
  </si>
  <si>
    <t>Inland Power &amp; Light Co.</t>
  </si>
  <si>
    <t>J. Aron &amp; Company, LLC</t>
  </si>
  <si>
    <t>Mercuria Energy America, LLC</t>
  </si>
  <si>
    <t>Nevada Power Co.</t>
  </si>
  <si>
    <t>NorthWestern Corp.</t>
  </si>
  <si>
    <t>Portland General Electric Co.</t>
  </si>
  <si>
    <t>Powerex Corp.</t>
  </si>
  <si>
    <t>PUD No 1 of Douglas County</t>
  </si>
  <si>
    <t>PUD No. 1 of Chelan County</t>
  </si>
  <si>
    <t>Puget Sound Energy Inc.</t>
  </si>
  <si>
    <t>Rainbow Energy Marketing Co.</t>
  </si>
  <si>
    <t>Shell Energy North Am (US) LP</t>
  </si>
  <si>
    <t>Snohomish Cnty Public Utility</t>
  </si>
  <si>
    <t>Spokane City of</t>
  </si>
  <si>
    <t>Tacoma Public Utilities</t>
  </si>
  <si>
    <t>The City Seattle—City Light De</t>
  </si>
  <si>
    <t>TransAlta Energy Mrkg (US) Inc</t>
  </si>
  <si>
    <t>Black Hills Power Inc.</t>
  </si>
  <si>
    <t>EDF Trading North America, LLC</t>
  </si>
  <si>
    <t>Pend Oreille County Public Utility District #1</t>
  </si>
  <si>
    <t>Rainbow Energy Marketing Corp.</t>
  </si>
  <si>
    <t>SMUD</t>
  </si>
  <si>
    <t>Southern California Edison Co.</t>
  </si>
  <si>
    <t>Vitol, Inc.</t>
  </si>
  <si>
    <t>CO2 emissions in kg</t>
  </si>
  <si>
    <t xml:space="preserve">CO2 emissions in metric tons </t>
  </si>
  <si>
    <t>Is direct CO2 measurement data available?</t>
  </si>
  <si>
    <t>CO2 Emissions 
metric tons</t>
  </si>
  <si>
    <t>Columbia Basin Hydropower (Irrigation hydro)</t>
  </si>
  <si>
    <t>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</si>
</sst>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##,##0;\(###,##0\)"/>
    <numFmt numFmtId="168" formatCode="0.0"/>
    <numFmt numFmtId="169" formatCode="0.000"/>
    <numFmt numFmtId="170" formatCode="#,##0.000"/>
    <numFmt numFmtId="171" formatCode="#,##0.0"/>
    <numFmt numFmtId="172" formatCode="0.0000"/>
    <numFmt numFmtId="173" formatCode="#,##0;[Red]\(#,##0\)"/>
    <numFmt numFmtId="174" formatCode="_(* #,##0.000_);_(* \(#,##0.000\);_(* &quot;-&quot;??_);_(@_)"/>
    <numFmt numFmtId="175" formatCode="_(* #,##0.0000_);_(* \(#,##0.000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</font>
    <font>
      <sz val="10"/>
      <color indexed="1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Protection="0">
      <alignment horizontal="center"/>
    </xf>
    <xf numFmtId="0" fontId="24" fillId="10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11" borderId="0" applyNumberFormat="0" applyFont="0" applyBorder="0" applyAlignment="0" applyProtection="0"/>
    <xf numFmtId="17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20" applyNumberFormat="0" applyFont="0" applyFill="0" applyAlignment="0" applyProtection="0"/>
  </cellStyleXfs>
  <cellXfs count="216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7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4" xfId="1" applyNumberFormat="1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18" xfId="0" applyBorder="1"/>
    <xf numFmtId="166" fontId="0" fillId="0" borderId="20" xfId="2" applyNumberFormat="1" applyFont="1" applyBorder="1"/>
    <xf numFmtId="0" fontId="0" fillId="0" borderId="20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3" xfId="0" applyBorder="1"/>
    <xf numFmtId="0" fontId="0" fillId="0" borderId="23" xfId="0" applyBorder="1"/>
    <xf numFmtId="0" fontId="0" fillId="0" borderId="20" xfId="0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2" fillId="0" borderId="16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4" xfId="0" applyBorder="1"/>
    <xf numFmtId="0" fontId="0" fillId="0" borderId="25" xfId="0" applyBorder="1"/>
    <xf numFmtId="0" fontId="0" fillId="2" borderId="26" xfId="0" applyFill="1" applyBorder="1"/>
    <xf numFmtId="165" fontId="0" fillId="2" borderId="19" xfId="1" applyNumberFormat="1" applyFont="1" applyFill="1" applyBorder="1" applyAlignment="1">
      <alignment horizontal="center"/>
    </xf>
    <xf numFmtId="43" fontId="2" fillId="0" borderId="27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8" xfId="0" applyFill="1" applyBorder="1"/>
    <xf numFmtId="165" fontId="0" fillId="2" borderId="2" xfId="1" applyNumberFormat="1" applyFont="1" applyFill="1" applyBorder="1" applyAlignment="1"/>
    <xf numFmtId="165" fontId="0" fillId="0" borderId="19" xfId="0" applyNumberFormat="1" applyBorder="1" applyAlignment="1"/>
    <xf numFmtId="0" fontId="2" fillId="0" borderId="17" xfId="0" applyFont="1" applyBorder="1" applyAlignment="1">
      <alignment horizontal="center"/>
    </xf>
    <xf numFmtId="0" fontId="0" fillId="0" borderId="29" xfId="0" applyBorder="1"/>
    <xf numFmtId="165" fontId="2" fillId="0" borderId="7" xfId="1" applyNumberFormat="1" applyFont="1" applyBorder="1"/>
    <xf numFmtId="165" fontId="2" fillId="0" borderId="29" xfId="0" applyNumberFormat="1" applyFont="1" applyBorder="1"/>
    <xf numFmtId="0" fontId="2" fillId="0" borderId="30" xfId="0" applyFont="1" applyBorder="1" applyAlignment="1">
      <alignment horizontal="center"/>
    </xf>
    <xf numFmtId="166" fontId="2" fillId="0" borderId="31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7" fontId="11" fillId="0" borderId="0" xfId="4" applyNumberFormat="1" applyAlignment="1">
      <alignment horizontal="righ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168" fontId="14" fillId="3" borderId="2" xfId="0" applyNumberFormat="1" applyFont="1" applyFill="1" applyBorder="1" applyAlignment="1" applyProtection="1">
      <alignment horizontal="center" vertical="center"/>
      <protection locked="0"/>
    </xf>
    <xf numFmtId="3" fontId="13" fillId="4" borderId="2" xfId="1" applyNumberFormat="1" applyFont="1" applyFill="1" applyBorder="1" applyAlignment="1" applyProtection="1">
      <alignment horizontal="center" vertical="center"/>
      <protection locked="0"/>
    </xf>
    <xf numFmtId="3" fontId="13" fillId="4" borderId="2" xfId="1" quotePrefix="1" applyNumberFormat="1" applyFont="1" applyFill="1" applyBorder="1" applyAlignment="1" applyProtection="1">
      <alignment horizontal="center" vertical="center"/>
      <protection locked="0"/>
    </xf>
    <xf numFmtId="168" fontId="14" fillId="3" borderId="2" xfId="0" quotePrefix="1" applyNumberFormat="1" applyFont="1" applyFill="1" applyBorder="1" applyAlignment="1" applyProtection="1">
      <alignment horizontal="center" vertical="center"/>
      <protection locked="0"/>
    </xf>
    <xf numFmtId="9" fontId="1" fillId="0" borderId="2" xfId="2" applyFill="1" applyBorder="1" applyAlignment="1">
      <alignment horizontal="center" vertical="center" wrapText="1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69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/>
      <protection locked="0"/>
    </xf>
    <xf numFmtId="4" fontId="19" fillId="6" borderId="2" xfId="0" applyNumberFormat="1" applyFont="1" applyFill="1" applyBorder="1" applyAlignment="1" applyProtection="1">
      <alignment horizontal="center" vertical="center"/>
      <protection locked="0"/>
    </xf>
    <xf numFmtId="2" fontId="1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 wrapText="1"/>
      <protection locked="0"/>
    </xf>
    <xf numFmtId="0" fontId="19" fillId="6" borderId="3" xfId="0" applyFont="1" applyFill="1" applyBorder="1" applyAlignment="1" applyProtection="1">
      <alignment horizontal="center" vertical="center" wrapText="1"/>
      <protection locked="0"/>
    </xf>
    <xf numFmtId="2" fontId="19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0" fontId="0" fillId="4" borderId="2" xfId="0" applyNumberFormat="1" applyFill="1" applyBorder="1" applyAlignment="1" applyProtection="1">
      <alignment horizontal="center" vertical="center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1" fontId="0" fillId="4" borderId="2" xfId="0" applyNumberFormat="1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2" fontId="20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0" fontId="29" fillId="0" borderId="0" xfId="4" applyFont="1" applyAlignment="1">
      <alignment horizontal="left"/>
    </xf>
    <xf numFmtId="43" fontId="0" fillId="0" borderId="0" xfId="0" applyNumberForma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30" fillId="0" borderId="0" xfId="0" applyFont="1"/>
    <xf numFmtId="0" fontId="2" fillId="0" borderId="0" xfId="0" applyFont="1"/>
    <xf numFmtId="0" fontId="11" fillId="0" borderId="0" xfId="4"/>
    <xf numFmtId="0" fontId="11" fillId="0" borderId="0" xfId="4" applyNumberFormat="1" applyAlignment="1">
      <alignment horizontal="left" vertical="top" wrapText="1"/>
    </xf>
    <xf numFmtId="173" fontId="11" fillId="0" borderId="0" xfId="4" applyNumberFormat="1" applyAlignment="1">
      <alignment horizontal="right" vertical="top" wrapText="1"/>
    </xf>
    <xf numFmtId="0" fontId="0" fillId="0" borderId="0" xfId="0"/>
    <xf numFmtId="0" fontId="0" fillId="0" borderId="0" xfId="0" applyNumberFormat="1" applyAlignment="1">
      <alignment horizontal="left" vertical="top" wrapText="1"/>
    </xf>
    <xf numFmtId="173" fontId="0" fillId="0" borderId="0" xfId="0" applyNumberFormat="1" applyAlignment="1">
      <alignment horizontal="right" vertical="top" wrapText="1"/>
    </xf>
    <xf numFmtId="173" fontId="0" fillId="0" borderId="0" xfId="0" applyNumberFormat="1"/>
    <xf numFmtId="11" fontId="0" fillId="0" borderId="0" xfId="0" applyNumberFormat="1"/>
    <xf numFmtId="165" fontId="0" fillId="0" borderId="0" xfId="1" applyNumberFormat="1" applyFont="1"/>
    <xf numFmtId="3" fontId="0" fillId="0" borderId="0" xfId="0" applyNumberFormat="1"/>
    <xf numFmtId="43" fontId="0" fillId="0" borderId="0" xfId="1" applyFont="1"/>
    <xf numFmtId="1" fontId="0" fillId="0" borderId="0" xfId="0" applyNumberFormat="1"/>
    <xf numFmtId="0" fontId="0" fillId="0" borderId="4" xfId="0" applyFont="1" applyBorder="1" applyAlignment="1">
      <alignment horizontal="center"/>
    </xf>
    <xf numFmtId="0" fontId="0" fillId="0" borderId="0" xfId="0"/>
    <xf numFmtId="165" fontId="0" fillId="0" borderId="7" xfId="1" applyNumberFormat="1" applyFont="1" applyBorder="1"/>
    <xf numFmtId="174" fontId="0" fillId="2" borderId="9" xfId="1" applyNumberFormat="1" applyFont="1" applyFill="1" applyBorder="1"/>
    <xf numFmtId="0" fontId="0" fillId="12" borderId="2" xfId="0" applyFill="1" applyBorder="1"/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/>
    </xf>
    <xf numFmtId="0" fontId="17" fillId="3" borderId="0" xfId="0" applyFont="1" applyFill="1" applyAlignment="1">
      <alignment horizontal="center"/>
    </xf>
    <xf numFmtId="2" fontId="0" fillId="5" borderId="0" xfId="0" applyNumberFormat="1" applyFill="1"/>
    <xf numFmtId="2" fontId="0" fillId="5" borderId="34" xfId="0" applyNumberFormat="1" applyFill="1" applyBorder="1"/>
    <xf numFmtId="2" fontId="12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35" xfId="0" applyNumberFormat="1" applyFont="1" applyBorder="1" applyAlignment="1">
      <alignment horizontal="center" vertical="center"/>
    </xf>
    <xf numFmtId="4" fontId="12" fillId="0" borderId="35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5" borderId="37" xfId="0" applyNumberFormat="1" applyFont="1" applyFill="1" applyBorder="1" applyAlignment="1">
      <alignment horizontal="center" vertical="center" wrapText="1"/>
    </xf>
    <xf numFmtId="0" fontId="0" fillId="5" borderId="38" xfId="0" applyFill="1" applyBorder="1"/>
    <xf numFmtId="0" fontId="0" fillId="5" borderId="0" xfId="0" applyFill="1" applyAlignment="1">
      <alignment wrapText="1"/>
    </xf>
    <xf numFmtId="2" fontId="0" fillId="5" borderId="0" xfId="0" applyNumberFormat="1" applyFill="1" applyAlignment="1">
      <alignment wrapText="1"/>
    </xf>
    <xf numFmtId="2" fontId="0" fillId="5" borderId="34" xfId="0" applyNumberFormat="1" applyFill="1" applyBorder="1" applyAlignment="1">
      <alignment wrapText="1"/>
    </xf>
    <xf numFmtId="2" fontId="0" fillId="0" borderId="3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5" borderId="37" xfId="0" applyNumberFormat="1" applyFill="1" applyBorder="1" applyAlignment="1">
      <alignment horizontal="center" vertical="center" wrapText="1"/>
    </xf>
    <xf numFmtId="0" fontId="0" fillId="5" borderId="0" xfId="0" applyFill="1"/>
    <xf numFmtId="2" fontId="0" fillId="5" borderId="1" xfId="0" applyNumberFormat="1" applyFill="1" applyBorder="1"/>
    <xf numFmtId="2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9" fontId="33" fillId="5" borderId="2" xfId="2" applyFont="1" applyFill="1" applyBorder="1" applyAlignment="1" applyProtection="1">
      <alignment horizontal="center" vertical="center" wrapText="1"/>
      <protection locked="0"/>
    </xf>
    <xf numFmtId="2" fontId="33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ill="1" applyBorder="1" applyAlignment="1" applyProtection="1">
      <alignment horizontal="center" vertical="center" wrapText="1"/>
      <protection locked="0"/>
    </xf>
    <xf numFmtId="3" fontId="0" fillId="5" borderId="37" xfId="0" applyNumberFormat="1" applyFill="1" applyBorder="1" applyAlignment="1" applyProtection="1">
      <alignment horizontal="center" vertical="center" wrapText="1"/>
      <protection locked="0"/>
    </xf>
    <xf numFmtId="0" fontId="0" fillId="5" borderId="38" xfId="0" applyFill="1" applyBorder="1" applyProtection="1">
      <protection locked="0"/>
    </xf>
    <xf numFmtId="2" fontId="18" fillId="6" borderId="0" xfId="0" applyNumberFormat="1" applyFont="1" applyFill="1" applyAlignment="1" applyProtection="1">
      <alignment horizontal="center" vertical="center"/>
      <protection locked="0"/>
    </xf>
    <xf numFmtId="2" fontId="19" fillId="5" borderId="37" xfId="0" applyNumberFormat="1" applyFont="1" applyFill="1" applyBorder="1" applyAlignment="1" applyProtection="1">
      <alignment horizontal="center" vertical="center" wrapText="1"/>
      <protection locked="0"/>
    </xf>
    <xf numFmtId="9" fontId="33" fillId="8" borderId="2" xfId="2" applyFont="1" applyFill="1" applyBorder="1" applyAlignment="1" applyProtection="1">
      <alignment horizontal="center" vertical="center"/>
      <protection locked="0"/>
    </xf>
    <xf numFmtId="4" fontId="0" fillId="7" borderId="2" xfId="0" applyNumberFormat="1" applyFill="1" applyBorder="1" applyAlignment="1" applyProtection="1">
      <alignment horizontal="center" vertical="center" wrapText="1"/>
      <protection locked="0"/>
    </xf>
    <xf numFmtId="3" fontId="0" fillId="7" borderId="2" xfId="0" applyNumberFormat="1" applyFill="1" applyBorder="1" applyAlignment="1" applyProtection="1">
      <alignment horizontal="center" vertical="center" wrapText="1"/>
      <protection locked="0"/>
    </xf>
    <xf numFmtId="2" fontId="0" fillId="5" borderId="37" xfId="0" applyNumberFormat="1" applyFill="1" applyBorder="1" applyAlignment="1" applyProtection="1">
      <alignment horizontal="center" vertical="center" wrapText="1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4" borderId="2" xfId="1" applyNumberFormat="1" applyFont="1" applyFill="1" applyBorder="1" applyAlignment="1" applyProtection="1">
      <alignment horizontal="center" vertical="center"/>
      <protection locked="0"/>
    </xf>
    <xf numFmtId="165" fontId="1" fillId="4" borderId="2" xfId="1" applyNumberFormat="1" applyFill="1" applyBorder="1" applyAlignment="1" applyProtection="1">
      <alignment horizontal="center" vertical="center"/>
      <protection locked="0"/>
    </xf>
    <xf numFmtId="165" fontId="11" fillId="4" borderId="2" xfId="1" applyNumberFormat="1" applyFont="1" applyFill="1" applyBorder="1" applyAlignment="1" applyProtection="1">
      <alignment horizontal="center" vertical="center"/>
      <protection locked="0"/>
    </xf>
    <xf numFmtId="2" fontId="0" fillId="3" borderId="2" xfId="0" applyNumberFormat="1" applyFill="1" applyBorder="1" applyAlignment="1" applyProtection="1">
      <alignment horizontal="center" vertical="center"/>
      <protection locked="0"/>
    </xf>
    <xf numFmtId="166" fontId="0" fillId="4" borderId="2" xfId="2" applyNumberFormat="1" applyFont="1" applyFill="1" applyBorder="1" applyAlignment="1" applyProtection="1">
      <alignment horizontal="center" vertical="center"/>
      <protection locked="0"/>
    </xf>
    <xf numFmtId="2" fontId="0" fillId="4" borderId="2" xfId="2" applyNumberFormat="1" applyFont="1" applyFill="1" applyBorder="1" applyAlignment="1" applyProtection="1">
      <alignment horizontal="center" vertical="center"/>
      <protection locked="0"/>
    </xf>
    <xf numFmtId="3" fontId="0" fillId="3" borderId="2" xfId="0" applyNumberFormat="1" applyFill="1" applyBorder="1" applyAlignment="1" applyProtection="1">
      <alignment horizontal="center" vertical="center" wrapText="1"/>
      <protection locked="0"/>
    </xf>
    <xf numFmtId="165" fontId="11" fillId="12" borderId="2" xfId="1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centerContinuous"/>
    </xf>
    <xf numFmtId="2" fontId="34" fillId="5" borderId="1" xfId="0" applyNumberFormat="1" applyFont="1" applyFill="1" applyBorder="1" applyAlignment="1">
      <alignment horizontal="centerContinuous"/>
    </xf>
    <xf numFmtId="9" fontId="34" fillId="5" borderId="6" xfId="2" applyFont="1" applyFill="1" applyBorder="1" applyAlignment="1">
      <alignment horizontal="centerContinuous"/>
    </xf>
    <xf numFmtId="4" fontId="0" fillId="5" borderId="2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 wrapText="1"/>
    </xf>
    <xf numFmtId="169" fontId="0" fillId="5" borderId="2" xfId="0" applyNumberFormat="1" applyFill="1" applyBorder="1" applyAlignment="1">
      <alignment horizontal="center" vertical="center" wrapText="1"/>
    </xf>
    <xf numFmtId="1" fontId="0" fillId="5" borderId="2" xfId="0" applyNumberFormat="1" applyFill="1" applyBorder="1" applyAlignment="1">
      <alignment horizontal="center" vertical="center" wrapText="1"/>
    </xf>
    <xf numFmtId="172" fontId="0" fillId="5" borderId="2" xfId="0" applyNumberFormat="1" applyFill="1" applyBorder="1" applyAlignment="1">
      <alignment horizontal="center" vertical="center" wrapText="1"/>
    </xf>
    <xf numFmtId="4" fontId="0" fillId="5" borderId="2" xfId="0" applyNumberForma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/>
    </xf>
    <xf numFmtId="2" fontId="18" fillId="6" borderId="0" xfId="0" applyNumberFormat="1" applyFont="1" applyFill="1" applyAlignment="1">
      <alignment horizontal="center" vertical="center"/>
    </xf>
    <xf numFmtId="4" fontId="19" fillId="6" borderId="2" xfId="0" applyNumberFormat="1" applyFont="1" applyFill="1" applyBorder="1" applyAlignment="1">
      <alignment horizontal="center" vertical="center"/>
    </xf>
    <xf numFmtId="2" fontId="19" fillId="6" borderId="2" xfId="0" applyNumberFormat="1" applyFont="1" applyFill="1" applyBorder="1" applyAlignment="1">
      <alignment horizontal="center" vertical="center" wrapText="1"/>
    </xf>
    <xf numFmtId="172" fontId="19" fillId="6" borderId="2" xfId="0" applyNumberFormat="1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4" fontId="19" fillId="6" borderId="3" xfId="0" applyNumberFormat="1" applyFont="1" applyFill="1" applyBorder="1" applyAlignment="1">
      <alignment horizontal="center" vertical="center" wrapText="1"/>
    </xf>
    <xf numFmtId="4" fontId="19" fillId="6" borderId="2" xfId="0" applyNumberFormat="1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9" fontId="33" fillId="7" borderId="2" xfId="2" applyFont="1" applyFill="1" applyBorder="1" applyAlignment="1" applyProtection="1">
      <alignment horizontal="center" vertical="center"/>
    </xf>
    <xf numFmtId="39" fontId="1" fillId="7" borderId="2" xfId="1" applyNumberFormat="1" applyFill="1" applyBorder="1" applyAlignment="1" applyProtection="1">
      <alignment horizontal="center" vertical="center"/>
    </xf>
    <xf numFmtId="39" fontId="11" fillId="7" borderId="2" xfId="1" applyNumberFormat="1" applyFont="1" applyFill="1" applyBorder="1" applyAlignment="1" applyProtection="1">
      <alignment horizontal="center" vertical="center"/>
    </xf>
    <xf numFmtId="4" fontId="0" fillId="7" borderId="2" xfId="0" applyNumberFormat="1" applyFill="1" applyBorder="1" applyAlignment="1">
      <alignment horizontal="center" vertical="center" wrapText="1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172" fontId="1" fillId="4" borderId="2" xfId="2" applyNumberFormat="1" applyFill="1" applyBorder="1" applyAlignment="1" applyProtection="1">
      <alignment horizontal="center" vertical="center"/>
      <protection locked="0"/>
    </xf>
    <xf numFmtId="9" fontId="1" fillId="7" borderId="2" xfId="2" applyFill="1" applyBorder="1" applyAlignment="1" applyProtection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9" fontId="0" fillId="7" borderId="2" xfId="2" applyFont="1" applyFill="1" applyBorder="1" applyAlignment="1" applyProtection="1">
      <alignment horizontal="center" vertical="center"/>
    </xf>
    <xf numFmtId="4" fontId="0" fillId="14" borderId="2" xfId="0" applyNumberForma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 vertical="top" wrapText="1"/>
    </xf>
    <xf numFmtId="165" fontId="0" fillId="0" borderId="20" xfId="0" applyNumberFormat="1" applyBorder="1"/>
    <xf numFmtId="175" fontId="0" fillId="12" borderId="20" xfId="0" applyNumberFormat="1" applyFill="1" applyBorder="1"/>
    <xf numFmtId="0" fontId="0" fillId="2" borderId="39" xfId="0" applyFont="1" applyFill="1" applyBorder="1"/>
    <xf numFmtId="165" fontId="0" fillId="0" borderId="39" xfId="1" applyNumberFormat="1" applyFont="1" applyBorder="1"/>
    <xf numFmtId="0" fontId="8" fillId="0" borderId="0" xfId="0" applyFont="1"/>
    <xf numFmtId="0" fontId="0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1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</cellXfs>
  <cellStyles count="23">
    <cellStyle name="Comma" xfId="1" builtinId="3"/>
    <cellStyle name="HeadlineStyle" xfId="20" xr:uid="{00000000-0005-0000-0000-000001000000}"/>
    <cellStyle name="HeadlineStyleJustified" xfId="21" xr:uid="{00000000-0005-0000-0000-000002000000}"/>
    <cellStyle name="Normal" xfId="0" builtinId="0"/>
    <cellStyle name="Normal 2" xfId="4" xr:uid="{00000000-0005-0000-0000-000004000000}"/>
    <cellStyle name="Percent" xfId="2" builtinId="5"/>
    <cellStyle name="Style 21" xfId="5" xr:uid="{00000000-0005-0000-0000-000006000000}"/>
    <cellStyle name="Style 22" xfId="3" xr:uid="{00000000-0005-0000-0000-000007000000}"/>
    <cellStyle name="Style 23" xfId="6" xr:uid="{00000000-0005-0000-0000-000008000000}"/>
    <cellStyle name="Style 24" xfId="7" xr:uid="{00000000-0005-0000-0000-000009000000}"/>
    <cellStyle name="Style 25" xfId="8" xr:uid="{00000000-0005-0000-0000-00000A000000}"/>
    <cellStyle name="Style 26" xfId="9" xr:uid="{00000000-0005-0000-0000-00000B000000}"/>
    <cellStyle name="Style 27" xfId="10" xr:uid="{00000000-0005-0000-0000-00000C000000}"/>
    <cellStyle name="Style 28" xfId="11" xr:uid="{00000000-0005-0000-0000-00000D000000}"/>
    <cellStyle name="Style 29" xfId="12" xr:uid="{00000000-0005-0000-0000-00000E000000}"/>
    <cellStyle name="Style 30" xfId="13" xr:uid="{00000000-0005-0000-0000-00000F000000}"/>
    <cellStyle name="Style 31" xfId="14" xr:uid="{00000000-0005-0000-0000-000010000000}"/>
    <cellStyle name="Style 32" xfId="15" xr:uid="{00000000-0005-0000-0000-000011000000}"/>
    <cellStyle name="Style 33" xfId="16" xr:uid="{00000000-0005-0000-0000-000012000000}"/>
    <cellStyle name="Style 34" xfId="17" xr:uid="{00000000-0005-0000-0000-000013000000}"/>
    <cellStyle name="Style 35" xfId="18" xr:uid="{00000000-0005-0000-0000-000014000000}"/>
    <cellStyle name="Style 36" xfId="19" xr:uid="{00000000-0005-0000-0000-000015000000}"/>
    <cellStyle name="Style 39" xfId="22" xr:uid="{00000000-0005-0000-0000-000016000000}"/>
  </cellStyles>
  <dxfs count="4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24</xdr:row>
      <xdr:rowOff>0</xdr:rowOff>
    </xdr:from>
    <xdr:to>
      <xdr:col>6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workbookViewId="0">
      <selection activeCell="D18" sqref="D18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7109375" bestFit="1" customWidth="1"/>
    <col min="10" max="10" width="11.5703125" bestFit="1" customWidth="1"/>
    <col min="11" max="12" width="13.28515625" bestFit="1" customWidth="1"/>
  </cols>
  <sheetData>
    <row r="1" spans="1:11" ht="18.75" x14ac:dyDescent="0.3">
      <c r="A1" s="3" t="s">
        <v>5</v>
      </c>
    </row>
    <row r="2" spans="1:11" ht="15.75" thickBot="1" x14ac:dyDescent="0.3"/>
    <row r="3" spans="1:11" x14ac:dyDescent="0.25">
      <c r="A3" s="51"/>
      <c r="B3" s="52" t="s">
        <v>9</v>
      </c>
      <c r="C3" s="53" t="s">
        <v>17</v>
      </c>
      <c r="D3" s="58"/>
      <c r="E3" s="56"/>
    </row>
    <row r="4" spans="1:11" x14ac:dyDescent="0.25">
      <c r="A4" s="203" t="s">
        <v>10</v>
      </c>
      <c r="B4" s="208"/>
      <c r="C4" s="29">
        <v>2022</v>
      </c>
      <c r="D4" s="61" t="s">
        <v>31</v>
      </c>
      <c r="E4" s="57"/>
    </row>
    <row r="5" spans="1:11" ht="15.75" thickBot="1" x14ac:dyDescent="0.3">
      <c r="A5" s="209" t="s">
        <v>15</v>
      </c>
      <c r="B5" s="210"/>
      <c r="C5" s="54">
        <v>579076</v>
      </c>
      <c r="D5" s="55">
        <f>+D13/C5</f>
        <v>10.091782425795579</v>
      </c>
    </row>
    <row r="6" spans="1:11" x14ac:dyDescent="0.25">
      <c r="A6" s="5"/>
      <c r="B6" s="5"/>
      <c r="C6" s="14"/>
      <c r="E6" s="13"/>
    </row>
    <row r="7" spans="1:11" ht="19.5" thickBot="1" x14ac:dyDescent="0.35">
      <c r="A7" s="5"/>
      <c r="B7" s="49" t="s">
        <v>28</v>
      </c>
      <c r="C7" s="14"/>
      <c r="E7" s="13"/>
    </row>
    <row r="8" spans="1:11" x14ac:dyDescent="0.25">
      <c r="A8" s="31"/>
      <c r="B8" s="32"/>
      <c r="C8" s="32"/>
      <c r="D8" s="32"/>
      <c r="E8" s="32"/>
      <c r="F8" s="33" t="s">
        <v>14</v>
      </c>
      <c r="G8" s="44" t="s">
        <v>32</v>
      </c>
    </row>
    <row r="9" spans="1:11" x14ac:dyDescent="0.25">
      <c r="A9" s="34"/>
      <c r="B9" s="9"/>
      <c r="C9" s="9"/>
      <c r="D9" s="11" t="s">
        <v>8</v>
      </c>
      <c r="E9" s="23" t="s">
        <v>21</v>
      </c>
      <c r="F9" s="16" t="s">
        <v>27</v>
      </c>
      <c r="G9" s="45" t="s">
        <v>14</v>
      </c>
      <c r="I9" s="119"/>
      <c r="J9" s="119"/>
      <c r="K9" s="119"/>
    </row>
    <row r="10" spans="1:11" x14ac:dyDescent="0.25">
      <c r="A10" s="203" t="s">
        <v>6</v>
      </c>
      <c r="B10" s="206"/>
      <c r="C10" s="208"/>
      <c r="D10" s="59">
        <v>2748287</v>
      </c>
      <c r="E10" s="10">
        <f>+D10/D13</f>
        <v>0.47028230590175174</v>
      </c>
      <c r="F10" s="30">
        <v>238499</v>
      </c>
      <c r="G10" s="46">
        <f>+D10/F10</f>
        <v>11.523264248487415</v>
      </c>
      <c r="I10" s="119"/>
      <c r="J10" s="119"/>
      <c r="K10" s="119"/>
    </row>
    <row r="11" spans="1:11" x14ac:dyDescent="0.25">
      <c r="A11" s="203" t="s">
        <v>11</v>
      </c>
      <c r="B11" s="206"/>
      <c r="C11" s="208"/>
      <c r="D11" s="59">
        <v>2150097</v>
      </c>
      <c r="E11" s="10">
        <f>+D11/D13</f>
        <v>0.3679210268332378</v>
      </c>
      <c r="F11" s="25">
        <v>25992</v>
      </c>
      <c r="G11" s="46">
        <f>+D11/F11</f>
        <v>82.721491228070178</v>
      </c>
    </row>
    <row r="12" spans="1:11" x14ac:dyDescent="0.25">
      <c r="A12" s="203" t="s">
        <v>12</v>
      </c>
      <c r="B12" s="206"/>
      <c r="C12" s="208"/>
      <c r="D12" s="59">
        <v>945525</v>
      </c>
      <c r="E12" s="10">
        <f>+D12/D13</f>
        <v>0.16179666726501046</v>
      </c>
      <c r="F12" s="5"/>
      <c r="G12" s="35"/>
    </row>
    <row r="13" spans="1:11" ht="15.75" thickBot="1" x14ac:dyDescent="0.3">
      <c r="A13" s="36"/>
      <c r="B13" s="211" t="s">
        <v>7</v>
      </c>
      <c r="C13" s="210"/>
      <c r="D13" s="60">
        <f>SUM(D10:D12)</f>
        <v>5843909</v>
      </c>
      <c r="E13" s="37"/>
      <c r="F13" s="38"/>
      <c r="G13" s="39"/>
      <c r="I13" s="120"/>
    </row>
    <row r="15" spans="1:11" ht="19.5" thickBot="1" x14ac:dyDescent="0.35">
      <c r="B15" s="50" t="s">
        <v>29</v>
      </c>
    </row>
    <row r="16" spans="1:11" x14ac:dyDescent="0.25">
      <c r="A16" s="31"/>
      <c r="B16" s="32"/>
      <c r="C16" s="32"/>
      <c r="D16" s="32"/>
      <c r="E16" s="33" t="s">
        <v>22</v>
      </c>
      <c r="F16" s="40" t="s">
        <v>200</v>
      </c>
      <c r="G16" s="41"/>
    </row>
    <row r="17" spans="1:9" ht="18" x14ac:dyDescent="0.35">
      <c r="A17" s="42"/>
      <c r="B17" s="5"/>
      <c r="C17" s="5"/>
      <c r="D17" s="23" t="s">
        <v>13</v>
      </c>
      <c r="E17" s="16" t="s">
        <v>23</v>
      </c>
      <c r="F17" s="12" t="s">
        <v>3</v>
      </c>
      <c r="G17" s="35"/>
    </row>
    <row r="18" spans="1:9" x14ac:dyDescent="0.25">
      <c r="A18" s="203" t="s">
        <v>25</v>
      </c>
      <c r="B18" s="204"/>
      <c r="C18" s="205"/>
      <c r="D18" s="6">
        <f>+'Known Resources'!B43*0.644</f>
        <v>7594330.0720000006</v>
      </c>
      <c r="E18" s="10">
        <f>+D18/(D18+D21)</f>
        <v>1.1637680129636099</v>
      </c>
      <c r="F18" s="6">
        <f>+'Known Resources'!D43*0.644</f>
        <v>1988900.5610132217</v>
      </c>
      <c r="G18" s="35"/>
      <c r="I18" s="104"/>
    </row>
    <row r="19" spans="1:9" s="112" customFormat="1" x14ac:dyDescent="0.25">
      <c r="A19" s="212" t="s">
        <v>175</v>
      </c>
      <c r="B19" s="212"/>
      <c r="C19" s="212"/>
      <c r="D19" s="6"/>
      <c r="E19" s="10"/>
      <c r="F19" s="123"/>
      <c r="G19" s="35"/>
      <c r="I19" s="104"/>
    </row>
    <row r="20" spans="1:9" s="112" customFormat="1" ht="15.75" thickBot="1" x14ac:dyDescent="0.3">
      <c r="A20" s="212" t="s">
        <v>176</v>
      </c>
      <c r="B20" s="212"/>
      <c r="C20" s="212"/>
      <c r="D20" s="6"/>
      <c r="E20" s="10"/>
      <c r="F20" s="123"/>
      <c r="G20" s="35"/>
      <c r="I20" s="104"/>
    </row>
    <row r="21" spans="1:9" ht="18" x14ac:dyDescent="0.35">
      <c r="A21" s="203" t="s">
        <v>26</v>
      </c>
      <c r="B21" s="206"/>
      <c r="C21" s="207"/>
      <c r="D21" s="47">
        <f>'Unknown Resources'!F62*0.644</f>
        <v>-1068690.952</v>
      </c>
      <c r="E21" s="48">
        <f>+D21/(D18+D21)</f>
        <v>-0.1637680129636099</v>
      </c>
      <c r="F21" s="63">
        <f>+'Unknown Resources'!G62*0.644</f>
        <v>-113.95266728091117</v>
      </c>
      <c r="G21" s="65" t="s">
        <v>30</v>
      </c>
    </row>
    <row r="22" spans="1:9" ht="18.75" thickBot="1" x14ac:dyDescent="0.4">
      <c r="A22" s="36"/>
      <c r="B22" s="38"/>
      <c r="C22" s="38"/>
      <c r="D22" s="62">
        <f>+C4</f>
        <v>2022</v>
      </c>
      <c r="E22" s="43" t="s">
        <v>2</v>
      </c>
      <c r="F22" s="64">
        <f>SUM(F18:F21)</f>
        <v>1988786.6083459409</v>
      </c>
      <c r="G22" s="66">
        <f>+F22/G24</f>
        <v>1.9366808795561412</v>
      </c>
    </row>
    <row r="23" spans="1:9" ht="18" x14ac:dyDescent="0.35">
      <c r="A23" t="s">
        <v>121</v>
      </c>
    </row>
    <row r="24" spans="1:9" ht="18" x14ac:dyDescent="0.35">
      <c r="F24" s="15" t="s">
        <v>218</v>
      </c>
      <c r="G24" s="25">
        <f>G29</f>
        <v>1026904.6539054703</v>
      </c>
      <c r="H24" s="22"/>
    </row>
    <row r="26" spans="1:9" x14ac:dyDescent="0.25">
      <c r="B26" s="22" t="s">
        <v>16</v>
      </c>
      <c r="F26" s="17"/>
      <c r="G26" s="17"/>
    </row>
    <row r="27" spans="1:9" x14ac:dyDescent="0.25">
      <c r="E27" s="17"/>
      <c r="F27" s="17"/>
      <c r="G27" s="20" t="s">
        <v>20</v>
      </c>
    </row>
    <row r="28" spans="1:9" ht="18" x14ac:dyDescent="0.35">
      <c r="E28" s="17"/>
      <c r="F28" s="17"/>
      <c r="G28" s="21" t="s">
        <v>177</v>
      </c>
      <c r="H28" s="121" t="s">
        <v>1</v>
      </c>
    </row>
    <row r="29" spans="1:9" x14ac:dyDescent="0.25">
      <c r="E29" s="17"/>
      <c r="F29" s="18" t="s">
        <v>17</v>
      </c>
      <c r="G29" s="19">
        <f>H29/1.1023</f>
        <v>1026904.6539054703</v>
      </c>
      <c r="H29" s="19">
        <v>1131957</v>
      </c>
    </row>
    <row r="30" spans="1:9" x14ac:dyDescent="0.25">
      <c r="E30" s="17"/>
      <c r="F30" s="18" t="s">
        <v>18</v>
      </c>
      <c r="G30" s="19">
        <f t="shared" ref="G30:G31" si="0">H30/1.1023</f>
        <v>2176429.2842238955</v>
      </c>
      <c r="H30" s="19">
        <v>2399078</v>
      </c>
    </row>
    <row r="31" spans="1:9" x14ac:dyDescent="0.25">
      <c r="E31" s="17"/>
      <c r="F31" s="18" t="s">
        <v>19</v>
      </c>
      <c r="G31" s="19">
        <f t="shared" si="0"/>
        <v>6301427.9234328223</v>
      </c>
      <c r="H31" s="19">
        <v>6946064</v>
      </c>
    </row>
  </sheetData>
  <mergeCells count="10">
    <mergeCell ref="A18:C18"/>
    <mergeCell ref="A21:C21"/>
    <mergeCell ref="A4:B4"/>
    <mergeCell ref="A5:B5"/>
    <mergeCell ref="A10:C10"/>
    <mergeCell ref="A11:C11"/>
    <mergeCell ref="A12:C12"/>
    <mergeCell ref="B13:C13"/>
    <mergeCell ref="A19:C19"/>
    <mergeCell ref="A20:C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5"/>
  <sheetViews>
    <sheetView topLeftCell="A37" workbookViewId="0">
      <selection activeCell="D43" sqref="D43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6" max="7" width="25" bestFit="1" customWidth="1"/>
    <col min="8" max="8" width="10.5703125" customWidth="1"/>
    <col min="9" max="9" width="10.85546875" bestFit="1" customWidth="1"/>
    <col min="14" max="14" width="12.7109375" bestFit="1" customWidth="1"/>
    <col min="18" max="18" width="16" bestFit="1" customWidth="1"/>
    <col min="19" max="19" width="13.28515625" bestFit="1" customWidth="1"/>
    <col min="20" max="20" width="19.28515625" bestFit="1" customWidth="1"/>
    <col min="21" max="21" width="11.5703125" bestFit="1" customWidth="1"/>
    <col min="22" max="22" width="14.28515625" bestFit="1" customWidth="1"/>
  </cols>
  <sheetData>
    <row r="1" spans="1:35" ht="18.75" x14ac:dyDescent="0.3">
      <c r="A1" s="3" t="s">
        <v>4</v>
      </c>
      <c r="B1" s="28">
        <f>+Summary!C4</f>
        <v>2022</v>
      </c>
    </row>
    <row r="2" spans="1:35" ht="18.75" x14ac:dyDescent="0.3">
      <c r="A2" s="3"/>
      <c r="B2" s="7" t="s">
        <v>24</v>
      </c>
      <c r="C2" s="7">
        <f>+Summary!C4</f>
        <v>2022</v>
      </c>
      <c r="D2" s="7" t="s">
        <v>200</v>
      </c>
      <c r="F2" s="69">
        <v>2022</v>
      </c>
      <c r="G2" s="70" t="s">
        <v>169</v>
      </c>
      <c r="H2" s="69" t="s">
        <v>170</v>
      </c>
      <c r="I2" s="71" t="s">
        <v>168</v>
      </c>
    </row>
    <row r="3" spans="1:35" ht="19.5" x14ac:dyDescent="0.35">
      <c r="A3" s="4" t="s">
        <v>0</v>
      </c>
      <c r="B3" s="8">
        <f>+Summary!C4</f>
        <v>2022</v>
      </c>
      <c r="C3" s="8" t="s">
        <v>199</v>
      </c>
      <c r="D3" s="8" t="s">
        <v>3</v>
      </c>
      <c r="E3" s="2"/>
      <c r="F3" s="69" t="s">
        <v>53</v>
      </c>
      <c r="G3" s="70">
        <v>233</v>
      </c>
      <c r="H3" s="69" t="s">
        <v>54</v>
      </c>
      <c r="I3" s="71">
        <f>0.001*1619811000</f>
        <v>1619811</v>
      </c>
      <c r="K3" s="112" t="s">
        <v>122</v>
      </c>
      <c r="L3" s="122" t="s">
        <v>123</v>
      </c>
      <c r="M3" s="122" t="s">
        <v>124</v>
      </c>
      <c r="N3" s="122" t="s">
        <v>125</v>
      </c>
      <c r="O3" s="122" t="s">
        <v>126</v>
      </c>
      <c r="P3" s="122" t="s">
        <v>127</v>
      </c>
      <c r="Q3" s="122" t="s">
        <v>128</v>
      </c>
      <c r="R3" s="122" t="s">
        <v>145</v>
      </c>
      <c r="S3" s="122" t="s">
        <v>129</v>
      </c>
      <c r="T3" s="122" t="s">
        <v>203</v>
      </c>
      <c r="U3" s="122" t="s">
        <v>204</v>
      </c>
      <c r="V3" s="122" t="s">
        <v>130</v>
      </c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</row>
    <row r="4" spans="1:35" x14ac:dyDescent="0.25">
      <c r="A4" s="24" t="s">
        <v>33</v>
      </c>
      <c r="B4" s="25">
        <v>1619811</v>
      </c>
      <c r="C4" s="102">
        <f t="shared" ref="C4:C9" si="0">D4/B4</f>
        <v>0.99446702124843378</v>
      </c>
      <c r="D4" s="6">
        <f>(U7+U8)</f>
        <v>1610848.6201554467</v>
      </c>
      <c r="F4" s="69" t="s">
        <v>55</v>
      </c>
      <c r="G4" s="70">
        <v>167</v>
      </c>
      <c r="H4" s="69" t="s">
        <v>56</v>
      </c>
      <c r="I4" s="71">
        <f>0.001*199238000</f>
        <v>199238</v>
      </c>
      <c r="K4" s="112" t="s">
        <v>131</v>
      </c>
      <c r="L4" s="122" t="s">
        <v>132</v>
      </c>
      <c r="M4" s="122">
        <v>7456</v>
      </c>
      <c r="N4" s="122">
        <v>1</v>
      </c>
      <c r="O4" s="122"/>
      <c r="P4" s="122">
        <v>2022</v>
      </c>
      <c r="Q4" s="122" t="s">
        <v>133</v>
      </c>
      <c r="R4" s="122"/>
      <c r="S4" s="122">
        <v>62730.923999999999</v>
      </c>
      <c r="T4" s="119">
        <f>S4/1.1023</f>
        <v>56909.120928966702</v>
      </c>
      <c r="U4" s="104">
        <f>T4+X43</f>
        <v>57043.064145510703</v>
      </c>
      <c r="V4" s="117">
        <v>1055544.504</v>
      </c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</row>
    <row r="5" spans="1:35" x14ac:dyDescent="0.25">
      <c r="A5" s="26" t="s">
        <v>34</v>
      </c>
      <c r="B5" s="25">
        <v>199238</v>
      </c>
      <c r="C5" s="102">
        <f t="shared" si="0"/>
        <v>0.52928428430708219</v>
      </c>
      <c r="D5" s="6">
        <f>U4+U5</f>
        <v>105453.54223677443</v>
      </c>
      <c r="F5" s="69" t="s">
        <v>57</v>
      </c>
      <c r="G5" s="70">
        <v>62</v>
      </c>
      <c r="H5" s="69" t="s">
        <v>56</v>
      </c>
      <c r="I5" s="71">
        <f>0.001*1059000</f>
        <v>1059</v>
      </c>
      <c r="K5" s="112" t="s">
        <v>131</v>
      </c>
      <c r="L5" s="122" t="s">
        <v>132</v>
      </c>
      <c r="M5" s="122">
        <v>7456</v>
      </c>
      <c r="N5" s="122">
        <v>2</v>
      </c>
      <c r="O5" s="122"/>
      <c r="P5" s="122">
        <v>2022</v>
      </c>
      <c r="Q5" s="122" t="s">
        <v>133</v>
      </c>
      <c r="R5" s="122"/>
      <c r="S5" s="122">
        <v>53362.87</v>
      </c>
      <c r="T5" s="119">
        <f t="shared" ref="T5:T9" si="1">S5/1.1023</f>
        <v>48410.478091263722</v>
      </c>
      <c r="U5" s="104">
        <f>T5</f>
        <v>48410.478091263722</v>
      </c>
      <c r="V5" s="117">
        <v>897939.78799999994</v>
      </c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</row>
    <row r="6" spans="1:35" x14ac:dyDescent="0.25">
      <c r="A6" s="26" t="s">
        <v>35</v>
      </c>
      <c r="B6" s="25">
        <v>1059</v>
      </c>
      <c r="C6" s="102">
        <f t="shared" si="0"/>
        <v>0.64868614081918841</v>
      </c>
      <c r="D6" s="6">
        <f>U28+X44</f>
        <v>686.95862312752047</v>
      </c>
      <c r="F6" s="69" t="s">
        <v>58</v>
      </c>
      <c r="G6" s="70">
        <v>25</v>
      </c>
      <c r="H6" s="69" t="s">
        <v>56</v>
      </c>
      <c r="I6" s="71">
        <f>0.001*81149000</f>
        <v>81149</v>
      </c>
      <c r="K6" s="112" t="s">
        <v>131</v>
      </c>
      <c r="L6" s="122" t="s">
        <v>134</v>
      </c>
      <c r="M6" s="122">
        <v>55179</v>
      </c>
      <c r="N6" s="122" t="s">
        <v>135</v>
      </c>
      <c r="O6" s="122"/>
      <c r="P6" s="122">
        <v>2022</v>
      </c>
      <c r="Q6" s="122" t="s">
        <v>133</v>
      </c>
      <c r="R6" s="122"/>
      <c r="S6" s="122">
        <v>701842.11399999994</v>
      </c>
      <c r="T6" s="119">
        <f t="shared" si="1"/>
        <v>636706.98902295192</v>
      </c>
      <c r="U6" s="104">
        <f>T6+X50</f>
        <v>636706.98902295192</v>
      </c>
      <c r="V6" s="117">
        <v>11809766.069</v>
      </c>
      <c r="X6" s="112"/>
      <c r="Y6" s="112"/>
      <c r="Z6" s="112"/>
      <c r="AA6" s="112"/>
      <c r="AB6" s="112"/>
      <c r="AC6" s="112"/>
      <c r="AD6" s="112"/>
      <c r="AE6" s="112"/>
      <c r="AF6" s="112"/>
      <c r="AG6" s="116"/>
      <c r="AH6" s="112"/>
    </row>
    <row r="7" spans="1:35" x14ac:dyDescent="0.25">
      <c r="A7" s="26" t="s">
        <v>36</v>
      </c>
      <c r="B7" s="25">
        <v>81149</v>
      </c>
      <c r="C7" s="102">
        <f t="shared" si="0"/>
        <v>0.48492721313907189</v>
      </c>
      <c r="D7" s="6">
        <f>U29+X45</f>
        <v>39351.358419022545</v>
      </c>
      <c r="F7" s="69" t="s">
        <v>59</v>
      </c>
      <c r="G7" s="70">
        <v>286</v>
      </c>
      <c r="H7" s="69" t="s">
        <v>56</v>
      </c>
      <c r="I7" s="71">
        <f>0.001*1844239000</f>
        <v>1844239</v>
      </c>
      <c r="K7" s="112" t="s">
        <v>136</v>
      </c>
      <c r="L7" s="122" t="s">
        <v>137</v>
      </c>
      <c r="M7" s="122">
        <v>6076</v>
      </c>
      <c r="N7" s="122">
        <v>3</v>
      </c>
      <c r="O7" s="122"/>
      <c r="P7" s="122">
        <v>2022</v>
      </c>
      <c r="Q7" s="122" t="s">
        <v>133</v>
      </c>
      <c r="R7" s="122"/>
      <c r="S7" s="122">
        <v>5675664.1679999996</v>
      </c>
      <c r="T7" s="119">
        <f>(0.15*S7)/1.1023</f>
        <v>772339.31343554368</v>
      </c>
      <c r="U7" s="104">
        <f>T7+X41+X42</f>
        <v>785157.23160423571</v>
      </c>
      <c r="V7" s="117">
        <v>54122078.704000004</v>
      </c>
      <c r="X7" s="112"/>
      <c r="Y7" s="112"/>
      <c r="Z7" s="112"/>
      <c r="AA7" s="112"/>
      <c r="AB7" s="112"/>
      <c r="AC7" s="112"/>
      <c r="AD7" s="112"/>
      <c r="AE7" s="112"/>
      <c r="AF7" s="112"/>
      <c r="AG7" s="116"/>
      <c r="AH7" s="116"/>
    </row>
    <row r="8" spans="1:35" x14ac:dyDescent="0.25">
      <c r="A8" s="26" t="s">
        <v>37</v>
      </c>
      <c r="B8" s="25">
        <v>1844239</v>
      </c>
      <c r="C8" s="102">
        <f t="shared" si="0"/>
        <v>0.37568291501107309</v>
      </c>
      <c r="D8" s="6">
        <f>U9</f>
        <v>692849.08349710645</v>
      </c>
      <c r="F8" s="69" t="s">
        <v>60</v>
      </c>
      <c r="G8" s="70">
        <v>7.2</v>
      </c>
      <c r="H8" s="69" t="s">
        <v>56</v>
      </c>
      <c r="I8" s="72">
        <f>0.001*4022000</f>
        <v>4022</v>
      </c>
      <c r="K8" s="112" t="s">
        <v>136</v>
      </c>
      <c r="L8" s="122" t="s">
        <v>137</v>
      </c>
      <c r="M8" s="122">
        <v>6076</v>
      </c>
      <c r="N8" s="122">
        <v>4</v>
      </c>
      <c r="O8" s="122"/>
      <c r="P8" s="122">
        <v>2022</v>
      </c>
      <c r="Q8" s="122" t="s">
        <v>133</v>
      </c>
      <c r="R8" s="122"/>
      <c r="S8" s="122">
        <v>6067730.784</v>
      </c>
      <c r="T8" s="119">
        <f>(0.15*S8)/1.1023</f>
        <v>825691.3885512111</v>
      </c>
      <c r="U8" s="104">
        <f>T8</f>
        <v>825691.3885512111</v>
      </c>
      <c r="V8" s="117">
        <v>57866815.858000003</v>
      </c>
      <c r="X8" s="112"/>
      <c r="Y8" s="112"/>
      <c r="Z8" s="112"/>
      <c r="AA8" s="112"/>
      <c r="AB8" s="112"/>
      <c r="AC8" s="112"/>
      <c r="AD8" s="112"/>
      <c r="AE8" s="112"/>
      <c r="AF8" s="112"/>
      <c r="AG8" s="116"/>
      <c r="AH8" s="116"/>
    </row>
    <row r="9" spans="1:35" x14ac:dyDescent="0.25">
      <c r="A9" s="26" t="s">
        <v>154</v>
      </c>
      <c r="B9" s="25">
        <v>4022</v>
      </c>
      <c r="C9" s="102">
        <f t="shared" si="0"/>
        <v>0.61122736230591324</v>
      </c>
      <c r="D9" s="6">
        <f>U31+X47</f>
        <v>2458.3564511943832</v>
      </c>
      <c r="F9" s="69" t="s">
        <v>61</v>
      </c>
      <c r="G9" s="73">
        <v>51</v>
      </c>
      <c r="H9" s="69" t="s">
        <v>62</v>
      </c>
      <c r="I9" s="71">
        <f>0.001*305511000</f>
        <v>305511</v>
      </c>
      <c r="K9" s="112" t="s">
        <v>138</v>
      </c>
      <c r="L9" s="122" t="s">
        <v>139</v>
      </c>
      <c r="M9" s="122">
        <v>7350</v>
      </c>
      <c r="N9" s="122" t="s">
        <v>140</v>
      </c>
      <c r="O9" s="122"/>
      <c r="P9" s="122">
        <v>2022</v>
      </c>
      <c r="Q9" s="122" t="s">
        <v>133</v>
      </c>
      <c r="R9" s="122"/>
      <c r="S9" s="122">
        <v>762968.77399999998</v>
      </c>
      <c r="T9" s="119">
        <f t="shared" si="1"/>
        <v>692160.73119840329</v>
      </c>
      <c r="U9" s="104">
        <f>T9+X46</f>
        <v>692849.08349710645</v>
      </c>
      <c r="V9" s="117">
        <v>12838314.481000001</v>
      </c>
      <c r="X9" s="112"/>
      <c r="Y9" s="112"/>
      <c r="Z9" s="112"/>
      <c r="AA9" s="112"/>
      <c r="AB9" s="112"/>
      <c r="AC9" s="112"/>
      <c r="AD9" s="112"/>
      <c r="AE9" s="112"/>
      <c r="AF9" s="112"/>
      <c r="AG9" s="116"/>
      <c r="AH9" s="116"/>
    </row>
    <row r="10" spans="1:35" x14ac:dyDescent="0.25">
      <c r="A10" s="26" t="s">
        <v>201</v>
      </c>
      <c r="B10" s="25">
        <v>305511</v>
      </c>
      <c r="C10" s="102">
        <v>0</v>
      </c>
      <c r="D10" s="6">
        <v>0</v>
      </c>
      <c r="F10" s="69" t="s">
        <v>63</v>
      </c>
      <c r="G10" s="70">
        <v>15</v>
      </c>
      <c r="H10" s="69" t="s">
        <v>64</v>
      </c>
      <c r="I10" s="71">
        <f>0.001*97629000</f>
        <v>97629</v>
      </c>
      <c r="W10" s="118"/>
      <c r="AF10" s="116"/>
    </row>
    <row r="11" spans="1:35" x14ac:dyDescent="0.25">
      <c r="A11" s="26" t="s">
        <v>39</v>
      </c>
      <c r="B11" s="25">
        <v>97629</v>
      </c>
      <c r="C11" s="102">
        <v>0</v>
      </c>
      <c r="D11" s="6">
        <v>0</v>
      </c>
      <c r="F11" s="69" t="s">
        <v>65</v>
      </c>
      <c r="G11" s="70">
        <v>15</v>
      </c>
      <c r="H11" s="69" t="s">
        <v>64</v>
      </c>
      <c r="I11" s="71">
        <f>0.001*74311000</f>
        <v>74311</v>
      </c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</row>
    <row r="12" spans="1:35" x14ac:dyDescent="0.25">
      <c r="A12" s="26" t="s">
        <v>40</v>
      </c>
      <c r="B12" s="25">
        <v>74311</v>
      </c>
      <c r="C12" s="102">
        <v>0</v>
      </c>
      <c r="D12" s="6">
        <v>0</v>
      </c>
      <c r="F12" s="69" t="s">
        <v>66</v>
      </c>
      <c r="G12" s="70">
        <v>38</v>
      </c>
      <c r="H12" s="69" t="s">
        <v>64</v>
      </c>
      <c r="I12" s="71">
        <f>0.001*149810000</f>
        <v>149810</v>
      </c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</row>
    <row r="13" spans="1:35" x14ac:dyDescent="0.25">
      <c r="A13" s="26" t="s">
        <v>41</v>
      </c>
      <c r="B13" s="25">
        <v>149810</v>
      </c>
      <c r="C13" s="102">
        <f t="shared" ref="C13:C18" si="2">(V17*2204.62262)/B13</f>
        <v>0</v>
      </c>
      <c r="D13" s="6">
        <v>0</v>
      </c>
      <c r="F13" s="69" t="s">
        <v>167</v>
      </c>
      <c r="G13" s="70">
        <v>43</v>
      </c>
      <c r="H13" s="69" t="s">
        <v>64</v>
      </c>
      <c r="I13" s="71">
        <f>0.001*206048000</f>
        <v>206048</v>
      </c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</row>
    <row r="14" spans="1:35" x14ac:dyDescent="0.25">
      <c r="A14" s="26" t="s">
        <v>42</v>
      </c>
      <c r="B14" s="25">
        <v>206048</v>
      </c>
      <c r="C14" s="102">
        <f t="shared" si="2"/>
        <v>0</v>
      </c>
      <c r="D14" s="6">
        <v>0</v>
      </c>
      <c r="F14" s="69" t="s">
        <v>67</v>
      </c>
      <c r="G14" s="70">
        <v>71</v>
      </c>
      <c r="H14" s="69" t="s">
        <v>64</v>
      </c>
      <c r="I14" s="71">
        <f>0.001*494448000</f>
        <v>494448</v>
      </c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</row>
    <row r="15" spans="1:35" x14ac:dyDescent="0.25">
      <c r="A15" s="26" t="s">
        <v>43</v>
      </c>
      <c r="B15" s="25">
        <v>494448</v>
      </c>
      <c r="C15" s="102">
        <f t="shared" si="2"/>
        <v>0</v>
      </c>
      <c r="D15" s="6">
        <v>0</v>
      </c>
      <c r="F15" s="69" t="s">
        <v>68</v>
      </c>
      <c r="G15" s="70">
        <v>10</v>
      </c>
      <c r="H15" s="69" t="s">
        <v>64</v>
      </c>
      <c r="I15" s="71">
        <f>0.001*64085000</f>
        <v>64085</v>
      </c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</row>
    <row r="16" spans="1:35" x14ac:dyDescent="0.25">
      <c r="A16" s="26" t="s">
        <v>44</v>
      </c>
      <c r="B16" s="25">
        <v>64085</v>
      </c>
      <c r="C16" s="102">
        <f t="shared" si="2"/>
        <v>0</v>
      </c>
      <c r="D16" s="6">
        <v>0</v>
      </c>
      <c r="F16" s="69" t="s">
        <v>69</v>
      </c>
      <c r="G16" s="70">
        <v>265</v>
      </c>
      <c r="H16" s="69" t="s">
        <v>64</v>
      </c>
      <c r="I16" s="71">
        <f>0.001*1101922000</f>
        <v>1101922</v>
      </c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</row>
    <row r="17" spans="1:35" x14ac:dyDescent="0.25">
      <c r="A17" s="26" t="s">
        <v>45</v>
      </c>
      <c r="B17" s="25">
        <v>1101922</v>
      </c>
      <c r="C17" s="102">
        <f t="shared" si="2"/>
        <v>0</v>
      </c>
      <c r="D17" s="6">
        <v>0</v>
      </c>
      <c r="F17" s="69" t="s">
        <v>70</v>
      </c>
      <c r="G17" s="70">
        <v>488</v>
      </c>
      <c r="H17" s="69" t="s">
        <v>64</v>
      </c>
      <c r="I17" s="71">
        <f>0.001*1741340000</f>
        <v>1741340</v>
      </c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</row>
    <row r="18" spans="1:35" x14ac:dyDescent="0.25">
      <c r="A18" s="26" t="s">
        <v>46</v>
      </c>
      <c r="B18" s="25">
        <v>1741340</v>
      </c>
      <c r="C18" s="102">
        <f t="shared" si="2"/>
        <v>0</v>
      </c>
      <c r="D18" s="6">
        <v>0</v>
      </c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</row>
    <row r="19" spans="1:35" x14ac:dyDescent="0.25">
      <c r="A19" s="26" t="s">
        <v>202</v>
      </c>
      <c r="B19" s="25">
        <v>1652620</v>
      </c>
      <c r="C19" s="102">
        <f>D19/B19</f>
        <v>0.38527125958959224</v>
      </c>
      <c r="D19" s="6">
        <f>U6</f>
        <v>636706.98902295192</v>
      </c>
    </row>
    <row r="20" spans="1:35" ht="15.75" x14ac:dyDescent="0.25">
      <c r="A20" s="26" t="s">
        <v>119</v>
      </c>
      <c r="B20" s="25"/>
      <c r="C20" s="25">
        <v>0</v>
      </c>
      <c r="D20" s="6">
        <f t="shared" ref="D20:D42" si="3">(+B20*C20)/2000</f>
        <v>0</v>
      </c>
      <c r="F20" s="128">
        <v>2022</v>
      </c>
      <c r="G20" s="129"/>
      <c r="H20" s="130"/>
      <c r="I20" s="131" t="s">
        <v>71</v>
      </c>
      <c r="J20" s="131" t="s">
        <v>72</v>
      </c>
      <c r="K20" s="132" t="s">
        <v>73</v>
      </c>
      <c r="L20" s="133" t="s">
        <v>74</v>
      </c>
      <c r="M20" s="132" t="s">
        <v>75</v>
      </c>
      <c r="N20" s="132" t="s">
        <v>76</v>
      </c>
      <c r="O20" s="132" t="s">
        <v>77</v>
      </c>
      <c r="P20" s="133" t="s">
        <v>78</v>
      </c>
      <c r="Q20" s="133" t="s">
        <v>79</v>
      </c>
      <c r="R20" s="134" t="s">
        <v>80</v>
      </c>
      <c r="S20" s="134" t="s">
        <v>81</v>
      </c>
      <c r="T20" s="134" t="s">
        <v>82</v>
      </c>
      <c r="U20" s="135" t="s">
        <v>83</v>
      </c>
      <c r="V20" s="136"/>
      <c r="W20" s="137"/>
      <c r="X20" s="134" t="s">
        <v>182</v>
      </c>
      <c r="Y20" s="135" t="s">
        <v>183</v>
      </c>
    </row>
    <row r="21" spans="1:35" ht="105" x14ac:dyDescent="0.25">
      <c r="A21" s="25" t="s">
        <v>171</v>
      </c>
      <c r="B21" s="25">
        <v>34809</v>
      </c>
      <c r="C21" s="25">
        <v>0</v>
      </c>
      <c r="D21" s="6">
        <f t="shared" si="3"/>
        <v>0</v>
      </c>
      <c r="F21" s="138"/>
      <c r="G21" s="139"/>
      <c r="H21" s="140"/>
      <c r="I21" s="141" t="s">
        <v>84</v>
      </c>
      <c r="J21" s="141" t="s">
        <v>85</v>
      </c>
      <c r="K21" s="141" t="s">
        <v>86</v>
      </c>
      <c r="L21" s="141" t="s">
        <v>87</v>
      </c>
      <c r="M21" s="141" t="s">
        <v>88</v>
      </c>
      <c r="N21" s="141" t="s">
        <v>89</v>
      </c>
      <c r="O21" s="141" t="s">
        <v>90</v>
      </c>
      <c r="P21" s="142" t="s">
        <v>91</v>
      </c>
      <c r="Q21" s="142" t="s">
        <v>92</v>
      </c>
      <c r="R21" s="142" t="s">
        <v>93</v>
      </c>
      <c r="S21" s="142" t="s">
        <v>94</v>
      </c>
      <c r="T21" s="142" t="s">
        <v>262</v>
      </c>
      <c r="U21" s="143" t="s">
        <v>263</v>
      </c>
      <c r="V21" s="144"/>
      <c r="W21" s="137"/>
      <c r="X21" s="142" t="s">
        <v>264</v>
      </c>
      <c r="Y21" s="142" t="s">
        <v>265</v>
      </c>
    </row>
    <row r="22" spans="1:35" ht="30" x14ac:dyDescent="0.25">
      <c r="A22" s="25" t="s">
        <v>155</v>
      </c>
      <c r="B22" s="25">
        <v>450993</v>
      </c>
      <c r="C22" s="25">
        <v>0</v>
      </c>
      <c r="D22" s="6">
        <f t="shared" si="3"/>
        <v>0</v>
      </c>
      <c r="F22" s="145"/>
      <c r="G22" s="146"/>
      <c r="H22" s="130"/>
      <c r="I22" s="147"/>
      <c r="J22" s="147"/>
      <c r="K22" s="147"/>
      <c r="L22" s="147"/>
      <c r="M22" s="147" t="s">
        <v>95</v>
      </c>
      <c r="N22" s="147" t="s">
        <v>96</v>
      </c>
      <c r="O22" s="147"/>
      <c r="P22" s="143"/>
      <c r="Q22" s="143"/>
      <c r="R22" s="74"/>
      <c r="S22" s="74"/>
      <c r="T22" s="143" t="s">
        <v>97</v>
      </c>
      <c r="U22" s="148" t="s">
        <v>98</v>
      </c>
      <c r="V22" s="144"/>
      <c r="W22" s="137"/>
      <c r="X22" s="143" t="s">
        <v>184</v>
      </c>
      <c r="Y22" s="143"/>
    </row>
    <row r="23" spans="1:35" ht="34.5" customHeight="1" x14ac:dyDescent="0.25">
      <c r="A23" s="25" t="s">
        <v>147</v>
      </c>
      <c r="B23" s="25">
        <v>2103</v>
      </c>
      <c r="C23" s="25">
        <v>0</v>
      </c>
      <c r="D23" s="6">
        <f t="shared" si="3"/>
        <v>0</v>
      </c>
      <c r="F23" s="75" t="s">
        <v>99</v>
      </c>
      <c r="G23" s="76" t="s">
        <v>56</v>
      </c>
      <c r="H23" s="77">
        <v>0.5</v>
      </c>
      <c r="I23" s="81">
        <v>1000</v>
      </c>
      <c r="J23" s="78" t="s">
        <v>100</v>
      </c>
      <c r="K23" s="79">
        <v>5.0999999999999997E-2</v>
      </c>
      <c r="L23" s="80" t="s">
        <v>101</v>
      </c>
      <c r="M23" s="78" t="s">
        <v>102</v>
      </c>
      <c r="N23" s="81">
        <v>51</v>
      </c>
      <c r="O23" s="81" t="s">
        <v>103</v>
      </c>
      <c r="P23" s="80">
        <v>14</v>
      </c>
      <c r="Q23" s="78" t="s">
        <v>104</v>
      </c>
      <c r="R23" s="149">
        <v>1</v>
      </c>
      <c r="S23" s="150">
        <v>1</v>
      </c>
      <c r="T23" s="151">
        <v>2618.0000000000023</v>
      </c>
      <c r="U23" s="82">
        <v>2.6180000000000021</v>
      </c>
      <c r="V23" s="152"/>
      <c r="W23" s="153"/>
      <c r="X23" s="151" t="s">
        <v>185</v>
      </c>
      <c r="Y23" s="82">
        <v>2.61</v>
      </c>
    </row>
    <row r="24" spans="1:35" x14ac:dyDescent="0.25">
      <c r="A24" s="25" t="s">
        <v>156</v>
      </c>
      <c r="B24" s="25">
        <v>354709</v>
      </c>
      <c r="C24" s="25">
        <v>0</v>
      </c>
      <c r="D24" s="6">
        <f t="shared" si="3"/>
        <v>0</v>
      </c>
      <c r="F24" s="83" t="s">
        <v>105</v>
      </c>
      <c r="G24" s="154" t="s">
        <v>106</v>
      </c>
      <c r="H24" s="154" t="s">
        <v>107</v>
      </c>
      <c r="I24" s="84"/>
      <c r="J24" s="85"/>
      <c r="K24" s="85"/>
      <c r="L24" s="85"/>
      <c r="M24" s="85"/>
      <c r="N24" s="85"/>
      <c r="O24" s="85"/>
      <c r="P24" s="86"/>
      <c r="Q24" s="87"/>
      <c r="R24" s="88"/>
      <c r="S24" s="88"/>
      <c r="T24" s="88"/>
      <c r="U24" s="85"/>
      <c r="V24" s="155"/>
      <c r="W24" s="153"/>
      <c r="X24" s="88"/>
      <c r="Y24" s="88"/>
    </row>
    <row r="25" spans="1:35" ht="30" x14ac:dyDescent="0.25">
      <c r="A25" s="25" t="s">
        <v>157</v>
      </c>
      <c r="B25" s="25">
        <v>8239</v>
      </c>
      <c r="C25" s="25">
        <v>0</v>
      </c>
      <c r="D25" s="6">
        <f t="shared" si="3"/>
        <v>0</v>
      </c>
      <c r="F25" s="89" t="s">
        <v>33</v>
      </c>
      <c r="G25" s="89" t="s">
        <v>54</v>
      </c>
      <c r="H25" s="156">
        <v>0.15</v>
      </c>
      <c r="I25" s="90">
        <v>1004542</v>
      </c>
      <c r="J25" s="91" t="s">
        <v>108</v>
      </c>
      <c r="K25" s="92">
        <v>16.97</v>
      </c>
      <c r="L25" s="91" t="s">
        <v>109</v>
      </c>
      <c r="M25" s="91" t="s">
        <v>102</v>
      </c>
      <c r="N25" s="157">
        <v>17047077.739999998</v>
      </c>
      <c r="O25" s="93" t="s">
        <v>110</v>
      </c>
      <c r="P25" s="94">
        <v>95.129498319366292</v>
      </c>
      <c r="Q25" s="93" t="s">
        <v>111</v>
      </c>
      <c r="R25" s="95">
        <v>0.98</v>
      </c>
      <c r="S25" s="96">
        <v>1</v>
      </c>
      <c r="T25" s="158">
        <v>1589246354.1530876</v>
      </c>
      <c r="U25" s="158">
        <v>1589246.3541530876</v>
      </c>
      <c r="V25" s="159"/>
      <c r="W25" s="153"/>
      <c r="X25" s="160" t="s">
        <v>185</v>
      </c>
      <c r="Y25" s="161"/>
    </row>
    <row r="26" spans="1:35" ht="25.5" x14ac:dyDescent="0.25">
      <c r="A26" s="25" t="s">
        <v>158</v>
      </c>
      <c r="B26" s="25">
        <v>0</v>
      </c>
      <c r="C26" s="25">
        <v>0</v>
      </c>
      <c r="D26" s="6">
        <f t="shared" si="3"/>
        <v>0</v>
      </c>
      <c r="F26" s="89" t="s">
        <v>33</v>
      </c>
      <c r="G26" s="89" t="s">
        <v>112</v>
      </c>
      <c r="H26" s="97">
        <v>0.15</v>
      </c>
      <c r="I26" s="90">
        <v>1290</v>
      </c>
      <c r="J26" s="91" t="s">
        <v>113</v>
      </c>
      <c r="K26" s="94">
        <v>5.88</v>
      </c>
      <c r="L26" s="98" t="s">
        <v>114</v>
      </c>
      <c r="M26" s="91" t="s">
        <v>102</v>
      </c>
      <c r="N26" s="157">
        <v>7585.2</v>
      </c>
      <c r="O26" s="93" t="s">
        <v>110</v>
      </c>
      <c r="P26" s="94">
        <v>73.959999998363685</v>
      </c>
      <c r="Q26" s="93" t="s">
        <v>111</v>
      </c>
      <c r="R26" s="95">
        <v>0.99</v>
      </c>
      <c r="S26" s="96">
        <v>1</v>
      </c>
      <c r="T26" s="158">
        <v>555391.37806771242</v>
      </c>
      <c r="U26" s="158">
        <v>555.39137806771237</v>
      </c>
      <c r="V26" s="159"/>
      <c r="W26" s="153"/>
      <c r="X26" s="160" t="s">
        <v>182</v>
      </c>
      <c r="Y26" s="161"/>
    </row>
    <row r="27" spans="1:35" x14ac:dyDescent="0.25">
      <c r="A27" s="25" t="s">
        <v>120</v>
      </c>
      <c r="B27" s="25">
        <v>315410</v>
      </c>
      <c r="C27" s="25">
        <v>0</v>
      </c>
      <c r="D27" s="6">
        <f t="shared" si="3"/>
        <v>0</v>
      </c>
      <c r="F27" s="89" t="s">
        <v>115</v>
      </c>
      <c r="G27" s="89" t="s">
        <v>56</v>
      </c>
      <c r="H27" s="97">
        <v>1</v>
      </c>
      <c r="I27" s="94">
        <v>2382.2800000000002</v>
      </c>
      <c r="J27" s="91" t="s">
        <v>116</v>
      </c>
      <c r="K27" s="99">
        <v>1026</v>
      </c>
      <c r="L27" s="91" t="s">
        <v>117</v>
      </c>
      <c r="M27" s="91" t="s">
        <v>102</v>
      </c>
      <c r="N27" s="157">
        <v>2444219.2800000003</v>
      </c>
      <c r="O27" s="93" t="s">
        <v>110</v>
      </c>
      <c r="P27" s="94">
        <v>53.059999955504388</v>
      </c>
      <c r="Q27" s="93" t="s">
        <v>111</v>
      </c>
      <c r="R27" s="95">
        <v>0.995</v>
      </c>
      <c r="S27" s="96">
        <v>1</v>
      </c>
      <c r="T27" s="158">
        <v>129041823.51360278</v>
      </c>
      <c r="U27" s="158">
        <v>129041.82351360278</v>
      </c>
      <c r="V27" s="159"/>
      <c r="W27" s="153"/>
      <c r="X27" s="160" t="s">
        <v>185</v>
      </c>
      <c r="Y27" s="161"/>
    </row>
    <row r="28" spans="1:35" x14ac:dyDescent="0.25">
      <c r="A28" s="25" t="s">
        <v>159</v>
      </c>
      <c r="B28" s="25">
        <v>0</v>
      </c>
      <c r="C28" s="25">
        <v>0</v>
      </c>
      <c r="D28" s="6">
        <f t="shared" si="3"/>
        <v>0</v>
      </c>
      <c r="F28" s="89" t="s">
        <v>118</v>
      </c>
      <c r="G28" s="89" t="s">
        <v>56</v>
      </c>
      <c r="H28" s="97">
        <v>1</v>
      </c>
      <c r="I28" s="94">
        <v>12.669</v>
      </c>
      <c r="J28" s="91" t="s">
        <v>116</v>
      </c>
      <c r="K28" s="99">
        <v>1026</v>
      </c>
      <c r="L28" s="91" t="s">
        <v>117</v>
      </c>
      <c r="M28" s="91" t="s">
        <v>102</v>
      </c>
      <c r="N28" s="157">
        <v>12998.394</v>
      </c>
      <c r="O28" s="93" t="s">
        <v>110</v>
      </c>
      <c r="P28" s="94">
        <v>53.059999955504388</v>
      </c>
      <c r="Q28" s="93" t="s">
        <v>111</v>
      </c>
      <c r="R28" s="95">
        <v>0.995</v>
      </c>
      <c r="S28" s="96">
        <v>1</v>
      </c>
      <c r="T28" s="158">
        <v>686246.31113632047</v>
      </c>
      <c r="U28" s="158">
        <v>686.24631113632051</v>
      </c>
      <c r="V28" s="159"/>
      <c r="W28" s="153"/>
      <c r="X28" s="160" t="s">
        <v>182</v>
      </c>
      <c r="Y28" s="162"/>
    </row>
    <row r="29" spans="1:35" ht="29.25" customHeight="1" x14ac:dyDescent="0.25">
      <c r="A29" s="25" t="s">
        <v>178</v>
      </c>
      <c r="B29" s="25">
        <v>510299</v>
      </c>
      <c r="C29" s="25">
        <v>0</v>
      </c>
      <c r="D29" s="6">
        <f t="shared" si="3"/>
        <v>0</v>
      </c>
      <c r="F29" s="89" t="s">
        <v>36</v>
      </c>
      <c r="G29" s="89" t="s">
        <v>56</v>
      </c>
      <c r="H29" s="97">
        <v>1</v>
      </c>
      <c r="I29" s="94">
        <v>725.72400000000005</v>
      </c>
      <c r="J29" s="91" t="s">
        <v>116</v>
      </c>
      <c r="K29" s="99">
        <v>1026</v>
      </c>
      <c r="L29" s="91" t="s">
        <v>117</v>
      </c>
      <c r="M29" s="91" t="s">
        <v>102</v>
      </c>
      <c r="N29" s="157">
        <v>744592.82400000002</v>
      </c>
      <c r="O29" s="93" t="s">
        <v>110</v>
      </c>
      <c r="P29" s="94">
        <v>53.059999955504388</v>
      </c>
      <c r="Q29" s="93" t="s">
        <v>111</v>
      </c>
      <c r="R29" s="95">
        <v>0.995</v>
      </c>
      <c r="S29" s="96">
        <v>1</v>
      </c>
      <c r="T29" s="158">
        <v>39310554.732267343</v>
      </c>
      <c r="U29" s="158">
        <v>39310.554732267345</v>
      </c>
      <c r="V29" s="159"/>
      <c r="W29" s="153"/>
      <c r="X29" s="160" t="s">
        <v>182</v>
      </c>
      <c r="Y29" s="162"/>
    </row>
    <row r="30" spans="1:35" ht="27" customHeight="1" x14ac:dyDescent="0.25">
      <c r="A30" s="25" t="s">
        <v>162</v>
      </c>
      <c r="B30" s="25">
        <v>9567</v>
      </c>
      <c r="C30" s="25">
        <v>0</v>
      </c>
      <c r="D30" s="6">
        <f t="shared" si="3"/>
        <v>0</v>
      </c>
      <c r="F30" s="89" t="s">
        <v>37</v>
      </c>
      <c r="G30" s="89" t="s">
        <v>56</v>
      </c>
      <c r="H30" s="97">
        <v>1</v>
      </c>
      <c r="I30" s="94">
        <v>12242.859</v>
      </c>
      <c r="J30" s="91" t="s">
        <v>116</v>
      </c>
      <c r="K30" s="99">
        <v>1026</v>
      </c>
      <c r="L30" s="91" t="s">
        <v>117</v>
      </c>
      <c r="M30" s="91" t="s">
        <v>102</v>
      </c>
      <c r="N30" s="157">
        <v>12561173.334000001</v>
      </c>
      <c r="O30" s="93" t="s">
        <v>110</v>
      </c>
      <c r="P30" s="94">
        <v>53.913123093188851</v>
      </c>
      <c r="Q30" s="93" t="s">
        <v>111</v>
      </c>
      <c r="R30" s="95">
        <v>0.995</v>
      </c>
      <c r="S30" s="96">
        <v>1</v>
      </c>
      <c r="T30" s="158">
        <v>673826023.7300694</v>
      </c>
      <c r="U30" s="158">
        <v>673826.0237300694</v>
      </c>
      <c r="V30" s="159"/>
      <c r="W30" s="153"/>
      <c r="X30" s="160" t="s">
        <v>185</v>
      </c>
      <c r="Y30" s="163"/>
    </row>
    <row r="31" spans="1:35" x14ac:dyDescent="0.25">
      <c r="A31" s="25" t="s">
        <v>163</v>
      </c>
      <c r="B31" s="25">
        <v>28190</v>
      </c>
      <c r="C31" s="25">
        <v>0</v>
      </c>
      <c r="D31" s="6">
        <f t="shared" si="3"/>
        <v>0</v>
      </c>
      <c r="F31" s="89" t="s">
        <v>38</v>
      </c>
      <c r="G31" s="89" t="s">
        <v>56</v>
      </c>
      <c r="H31" s="97">
        <v>1</v>
      </c>
      <c r="I31" s="94">
        <v>45.337400000000002</v>
      </c>
      <c r="J31" s="91" t="s">
        <v>116</v>
      </c>
      <c r="K31" s="99">
        <v>1026</v>
      </c>
      <c r="L31" s="91" t="s">
        <v>117</v>
      </c>
      <c r="M31" s="91" t="s">
        <v>102</v>
      </c>
      <c r="N31" s="157">
        <v>46516.172400000003</v>
      </c>
      <c r="O31" s="93" t="s">
        <v>110</v>
      </c>
      <c r="P31" s="94">
        <v>53.059999955504388</v>
      </c>
      <c r="Q31" s="93" t="s">
        <v>111</v>
      </c>
      <c r="R31" s="95">
        <v>0.995</v>
      </c>
      <c r="S31" s="96">
        <v>1</v>
      </c>
      <c r="T31" s="158">
        <v>2455807.3649468631</v>
      </c>
      <c r="U31" s="158">
        <v>2455.8073649468633</v>
      </c>
      <c r="V31" s="159"/>
      <c r="W31" s="153"/>
      <c r="X31" s="160" t="s">
        <v>182</v>
      </c>
      <c r="Y31" s="162"/>
    </row>
    <row r="32" spans="1:35" x14ac:dyDescent="0.25">
      <c r="A32" s="25" t="s">
        <v>160</v>
      </c>
      <c r="B32" s="25">
        <v>8884</v>
      </c>
      <c r="C32" s="25">
        <v>0</v>
      </c>
      <c r="D32" s="6">
        <f t="shared" si="3"/>
        <v>0</v>
      </c>
      <c r="F32" s="89" t="s">
        <v>151</v>
      </c>
      <c r="G32" s="164" t="s">
        <v>56</v>
      </c>
      <c r="H32" s="97">
        <v>1</v>
      </c>
      <c r="I32" s="94">
        <v>11.231</v>
      </c>
      <c r="J32" s="91" t="s">
        <v>116</v>
      </c>
      <c r="K32" s="99">
        <v>1026</v>
      </c>
      <c r="L32" s="91" t="s">
        <v>117</v>
      </c>
      <c r="M32" s="91" t="s">
        <v>102</v>
      </c>
      <c r="N32" s="157">
        <v>11523.005999999999</v>
      </c>
      <c r="O32" s="93" t="s">
        <v>110</v>
      </c>
      <c r="P32" s="94">
        <v>53.059999955504388</v>
      </c>
      <c r="Q32" s="93" t="s">
        <v>111</v>
      </c>
      <c r="R32" s="95">
        <v>0.995</v>
      </c>
      <c r="S32" s="96">
        <v>1</v>
      </c>
      <c r="T32" s="158">
        <v>608353.64435804042</v>
      </c>
      <c r="U32" s="158">
        <v>608.35364435804047</v>
      </c>
      <c r="V32" s="159"/>
      <c r="W32" s="153"/>
      <c r="X32" s="160" t="s">
        <v>182</v>
      </c>
      <c r="Y32" s="162"/>
    </row>
    <row r="33" spans="1:25" x14ac:dyDescent="0.25">
      <c r="A33" s="25" t="s">
        <v>161</v>
      </c>
      <c r="B33" s="25">
        <v>49110</v>
      </c>
      <c r="C33" s="25"/>
      <c r="D33" s="6">
        <f t="shared" si="3"/>
        <v>0</v>
      </c>
      <c r="F33" s="100"/>
      <c r="G33" s="101"/>
      <c r="H33" s="97">
        <v>1</v>
      </c>
      <c r="I33" s="94"/>
      <c r="J33" s="91"/>
      <c r="K33" s="99" t="s">
        <v>152</v>
      </c>
      <c r="L33" s="91" t="s">
        <v>152</v>
      </c>
      <c r="M33" s="91" t="s">
        <v>152</v>
      </c>
      <c r="N33" s="157">
        <v>0</v>
      </c>
      <c r="O33" s="93" t="s">
        <v>152</v>
      </c>
      <c r="P33" s="94" t="s">
        <v>152</v>
      </c>
      <c r="Q33" s="93" t="s">
        <v>152</v>
      </c>
      <c r="R33" s="165" t="s">
        <v>152</v>
      </c>
      <c r="S33" s="166" t="s">
        <v>152</v>
      </c>
      <c r="T33" s="158" t="e">
        <v>#VALUE!</v>
      </c>
      <c r="U33" s="158">
        <v>0</v>
      </c>
      <c r="V33" s="159"/>
      <c r="W33" s="153"/>
      <c r="X33" s="160"/>
      <c r="Y33" s="161" t="s">
        <v>152</v>
      </c>
    </row>
    <row r="34" spans="1:25" x14ac:dyDescent="0.25">
      <c r="A34" s="25" t="s">
        <v>174</v>
      </c>
      <c r="B34" s="25">
        <v>0</v>
      </c>
      <c r="C34" s="25"/>
      <c r="D34" s="6">
        <f t="shared" si="3"/>
        <v>0</v>
      </c>
      <c r="F34" s="100" t="s">
        <v>51</v>
      </c>
      <c r="G34" s="101" t="s">
        <v>56</v>
      </c>
      <c r="H34" s="97">
        <v>0</v>
      </c>
      <c r="I34" s="94"/>
      <c r="J34" s="91" t="s">
        <v>116</v>
      </c>
      <c r="K34" s="94">
        <v>16.826809999999998</v>
      </c>
      <c r="L34" s="91"/>
      <c r="M34" s="91"/>
      <c r="N34" s="157">
        <v>0</v>
      </c>
      <c r="O34" s="93"/>
      <c r="P34" s="94"/>
      <c r="Q34" s="93"/>
      <c r="R34" s="95"/>
      <c r="S34" s="96"/>
      <c r="T34" s="158">
        <v>0</v>
      </c>
      <c r="U34" s="158">
        <v>0</v>
      </c>
      <c r="V34" s="159"/>
      <c r="W34" s="153"/>
      <c r="X34" s="167" t="s">
        <v>185</v>
      </c>
      <c r="Y34" s="168">
        <v>636700.45571014029</v>
      </c>
    </row>
    <row r="35" spans="1:25" x14ac:dyDescent="0.25">
      <c r="A35" s="25" t="s">
        <v>146</v>
      </c>
      <c r="B35" s="25">
        <v>13858</v>
      </c>
      <c r="C35" s="25"/>
      <c r="D35" s="6">
        <f t="shared" si="3"/>
        <v>0</v>
      </c>
    </row>
    <row r="36" spans="1:25" ht="15.75" x14ac:dyDescent="0.25">
      <c r="A36" s="25" t="s">
        <v>164</v>
      </c>
      <c r="B36" s="25">
        <v>496</v>
      </c>
      <c r="C36" s="25"/>
      <c r="D36" s="6">
        <f t="shared" si="3"/>
        <v>0</v>
      </c>
      <c r="F36" s="128">
        <v>2022</v>
      </c>
      <c r="G36" s="129"/>
      <c r="H36" s="130"/>
      <c r="I36" s="131" t="s">
        <v>71</v>
      </c>
      <c r="J36" s="131" t="s">
        <v>72</v>
      </c>
      <c r="K36" s="132" t="s">
        <v>73</v>
      </c>
      <c r="L36" s="133" t="s">
        <v>74</v>
      </c>
      <c r="M36" s="132" t="s">
        <v>75</v>
      </c>
      <c r="N36" s="132" t="s">
        <v>76</v>
      </c>
      <c r="O36" s="132" t="s">
        <v>77</v>
      </c>
      <c r="P36" s="133" t="s">
        <v>78</v>
      </c>
      <c r="Q36" s="133" t="s">
        <v>79</v>
      </c>
      <c r="R36" s="133" t="s">
        <v>80</v>
      </c>
      <c r="S36" s="133" t="s">
        <v>81</v>
      </c>
      <c r="T36" s="134" t="s">
        <v>82</v>
      </c>
      <c r="U36" s="134" t="s">
        <v>83</v>
      </c>
      <c r="V36" s="135" t="s">
        <v>182</v>
      </c>
    </row>
    <row r="37" spans="1:25" ht="60" x14ac:dyDescent="0.25">
      <c r="A37" s="25" t="s">
        <v>165</v>
      </c>
      <c r="B37" s="25">
        <v>219</v>
      </c>
      <c r="C37" s="25"/>
      <c r="D37" s="6">
        <f t="shared" si="3"/>
        <v>0</v>
      </c>
      <c r="F37" s="138"/>
      <c r="G37" s="139"/>
      <c r="H37" s="140"/>
      <c r="I37" s="141" t="s">
        <v>84</v>
      </c>
      <c r="J37" s="141" t="s">
        <v>85</v>
      </c>
      <c r="K37" s="141" t="s">
        <v>86</v>
      </c>
      <c r="L37" s="141" t="s">
        <v>87</v>
      </c>
      <c r="M37" s="141" t="s">
        <v>88</v>
      </c>
      <c r="N37" s="141" t="s">
        <v>89</v>
      </c>
      <c r="O37" s="141" t="s">
        <v>90</v>
      </c>
      <c r="P37" s="142" t="s">
        <v>186</v>
      </c>
      <c r="Q37" s="142" t="s">
        <v>92</v>
      </c>
      <c r="R37" s="142" t="s">
        <v>187</v>
      </c>
      <c r="S37" s="142" t="s">
        <v>188</v>
      </c>
      <c r="T37" s="142" t="s">
        <v>94</v>
      </c>
      <c r="U37" s="142" t="s">
        <v>189</v>
      </c>
      <c r="V37" s="143" t="s">
        <v>190</v>
      </c>
      <c r="X37" s="125" t="s">
        <v>217</v>
      </c>
    </row>
    <row r="38" spans="1:25" ht="30" x14ac:dyDescent="0.25">
      <c r="A38" s="26" t="s">
        <v>172</v>
      </c>
      <c r="B38" s="25">
        <v>2682</v>
      </c>
      <c r="C38" s="25"/>
      <c r="D38" s="6">
        <f t="shared" si="3"/>
        <v>0</v>
      </c>
      <c r="F38" s="145"/>
      <c r="G38" s="129"/>
      <c r="H38" s="130"/>
      <c r="I38" s="147"/>
      <c r="J38" s="147"/>
      <c r="K38" s="147"/>
      <c r="L38" s="147"/>
      <c r="M38" s="147" t="s">
        <v>95</v>
      </c>
      <c r="N38" s="147" t="s">
        <v>96</v>
      </c>
      <c r="O38" s="147"/>
      <c r="P38" s="143"/>
      <c r="Q38" s="143"/>
      <c r="R38" s="143"/>
      <c r="S38" s="143"/>
      <c r="T38" s="74"/>
      <c r="U38" s="143" t="s">
        <v>191</v>
      </c>
      <c r="V38" s="148" t="s">
        <v>192</v>
      </c>
      <c r="X38" s="125"/>
    </row>
    <row r="39" spans="1:25" ht="30" x14ac:dyDescent="0.25">
      <c r="A39" s="26" t="s">
        <v>173</v>
      </c>
      <c r="B39" s="25">
        <v>1219</v>
      </c>
      <c r="C39" s="25"/>
      <c r="D39" s="6">
        <f t="shared" si="3"/>
        <v>0</v>
      </c>
      <c r="F39" s="169"/>
      <c r="G39" s="170"/>
      <c r="H39" s="171"/>
      <c r="I39" s="172">
        <v>1000</v>
      </c>
      <c r="J39" s="173" t="s">
        <v>100</v>
      </c>
      <c r="K39" s="174">
        <v>5.0999999999999997E-2</v>
      </c>
      <c r="L39" s="175" t="s">
        <v>101</v>
      </c>
      <c r="M39" s="173" t="s">
        <v>102</v>
      </c>
      <c r="N39" s="172">
        <v>51</v>
      </c>
      <c r="O39" s="172" t="s">
        <v>103</v>
      </c>
      <c r="P39" s="176">
        <v>1E-3</v>
      </c>
      <c r="Q39" s="173" t="s">
        <v>193</v>
      </c>
      <c r="R39" s="176">
        <v>2E-3</v>
      </c>
      <c r="S39" s="173" t="s">
        <v>194</v>
      </c>
      <c r="T39" s="150">
        <v>1</v>
      </c>
      <c r="U39" s="177">
        <v>5.1000000000000004E-2</v>
      </c>
      <c r="V39" s="177">
        <v>0.10200000000000001</v>
      </c>
      <c r="X39" s="125"/>
    </row>
    <row r="40" spans="1:25" x14ac:dyDescent="0.25">
      <c r="A40" s="26" t="s">
        <v>179</v>
      </c>
      <c r="B40" s="25">
        <v>363533</v>
      </c>
      <c r="C40" s="25"/>
      <c r="D40" s="6">
        <f t="shared" si="3"/>
        <v>0</v>
      </c>
      <c r="F40" s="178" t="s">
        <v>105</v>
      </c>
      <c r="G40" s="179" t="s">
        <v>106</v>
      </c>
      <c r="H40" s="179" t="s">
        <v>107</v>
      </c>
      <c r="I40" s="180"/>
      <c r="J40" s="181"/>
      <c r="K40" s="181"/>
      <c r="L40" s="181"/>
      <c r="M40" s="181"/>
      <c r="N40" s="181"/>
      <c r="O40" s="181"/>
      <c r="P40" s="182"/>
      <c r="Q40" s="183"/>
      <c r="R40" s="182"/>
      <c r="S40" s="183"/>
      <c r="T40" s="88"/>
      <c r="U40" s="184"/>
      <c r="V40" s="185"/>
      <c r="X40" s="125"/>
      <c r="Y40" s="67" t="s">
        <v>105</v>
      </c>
    </row>
    <row r="41" spans="1:25" x14ac:dyDescent="0.25">
      <c r="A41" s="26" t="s">
        <v>216</v>
      </c>
      <c r="B41" s="25">
        <v>99</v>
      </c>
      <c r="C41" s="25"/>
      <c r="D41" s="6">
        <f t="shared" si="3"/>
        <v>0</v>
      </c>
      <c r="F41" s="186" t="s">
        <v>33</v>
      </c>
      <c r="G41" s="186" t="s">
        <v>54</v>
      </c>
      <c r="H41" s="187">
        <v>0.15</v>
      </c>
      <c r="I41" s="188">
        <v>1004542</v>
      </c>
      <c r="J41" s="188" t="s">
        <v>108</v>
      </c>
      <c r="K41" s="188">
        <v>16.97</v>
      </c>
      <c r="L41" s="189" t="s">
        <v>109</v>
      </c>
      <c r="M41" s="189" t="s">
        <v>102</v>
      </c>
      <c r="N41" s="190">
        <v>17047077.739999998</v>
      </c>
      <c r="O41" s="189" t="s">
        <v>195</v>
      </c>
      <c r="P41" s="191">
        <v>1.0999999999999999E-2</v>
      </c>
      <c r="Q41" s="93" t="s">
        <v>196</v>
      </c>
      <c r="R41" s="191">
        <v>1.6000000000000001E-3</v>
      </c>
      <c r="S41" s="93" t="s">
        <v>196</v>
      </c>
      <c r="T41" s="192">
        <v>1</v>
      </c>
      <c r="U41" s="157">
        <v>187517.85513999997</v>
      </c>
      <c r="V41" s="157">
        <v>27275.324384</v>
      </c>
      <c r="X41" s="125">
        <v>12815.993044932</v>
      </c>
      <c r="Y41" s="122" t="s">
        <v>33</v>
      </c>
    </row>
    <row r="42" spans="1:25" ht="15.75" thickBot="1" x14ac:dyDescent="0.3">
      <c r="A42" s="201" t="s">
        <v>266</v>
      </c>
      <c r="B42" s="27">
        <v>777</v>
      </c>
      <c r="C42" s="27"/>
      <c r="D42" s="202">
        <f t="shared" si="3"/>
        <v>0</v>
      </c>
      <c r="F42" s="186" t="s">
        <v>33</v>
      </c>
      <c r="G42" s="186" t="s">
        <v>112</v>
      </c>
      <c r="H42" s="193">
        <v>0.15</v>
      </c>
      <c r="I42" s="188">
        <v>1290</v>
      </c>
      <c r="J42" s="188" t="s">
        <v>113</v>
      </c>
      <c r="K42" s="188">
        <v>5.88</v>
      </c>
      <c r="L42" s="189" t="s">
        <v>197</v>
      </c>
      <c r="M42" s="189" t="s">
        <v>102</v>
      </c>
      <c r="N42" s="190">
        <v>7585.2</v>
      </c>
      <c r="O42" s="189" t="s">
        <v>110</v>
      </c>
      <c r="P42" s="191">
        <v>3.0000000000000001E-3</v>
      </c>
      <c r="Q42" s="93" t="s">
        <v>196</v>
      </c>
      <c r="R42" s="191">
        <v>5.9999999999999995E-4</v>
      </c>
      <c r="S42" s="93" t="s">
        <v>196</v>
      </c>
      <c r="T42" s="192">
        <v>1</v>
      </c>
      <c r="U42" s="157">
        <v>22.755600000000001</v>
      </c>
      <c r="V42" s="157">
        <v>4.5511199999999992</v>
      </c>
      <c r="X42" s="125">
        <v>1.92512376</v>
      </c>
      <c r="Y42" s="122" t="s">
        <v>33</v>
      </c>
    </row>
    <row r="43" spans="1:25" ht="16.5" thickTop="1" thickBot="1" x14ac:dyDescent="0.3">
      <c r="A43" s="1"/>
      <c r="B43" s="199">
        <f>SUM(B4:B42)</f>
        <v>11792438</v>
      </c>
      <c r="C43" s="200">
        <f>D43/B43</f>
        <v>0.26189282558921434</v>
      </c>
      <c r="D43" s="199">
        <f>SUM(D4:D42)</f>
        <v>3088354.9084056239</v>
      </c>
      <c r="F43" s="186" t="s">
        <v>115</v>
      </c>
      <c r="G43" s="186" t="s">
        <v>56</v>
      </c>
      <c r="H43" s="193">
        <v>1</v>
      </c>
      <c r="I43" s="188">
        <v>2382.2800000000002</v>
      </c>
      <c r="J43" s="188" t="s">
        <v>116</v>
      </c>
      <c r="K43" s="188">
        <v>1026</v>
      </c>
      <c r="L43" s="189" t="s">
        <v>117</v>
      </c>
      <c r="M43" s="189" t="s">
        <v>102</v>
      </c>
      <c r="N43" s="190">
        <v>2444219.2800000003</v>
      </c>
      <c r="O43" s="189" t="s">
        <v>195</v>
      </c>
      <c r="P43" s="191">
        <v>1E-3</v>
      </c>
      <c r="Q43" s="93" t="s">
        <v>196</v>
      </c>
      <c r="R43" s="191">
        <v>1E-4</v>
      </c>
      <c r="S43" s="93" t="s">
        <v>196</v>
      </c>
      <c r="T43" s="192">
        <v>1</v>
      </c>
      <c r="U43" s="157">
        <v>2444.2192800000003</v>
      </c>
      <c r="V43" s="157">
        <v>244.42192800000004</v>
      </c>
      <c r="X43" s="125">
        <v>133.94321654400002</v>
      </c>
      <c r="Y43" s="122" t="s">
        <v>115</v>
      </c>
    </row>
    <row r="44" spans="1:25" x14ac:dyDescent="0.25">
      <c r="F44" s="186" t="s">
        <v>118</v>
      </c>
      <c r="G44" s="186" t="s">
        <v>56</v>
      </c>
      <c r="H44" s="193">
        <v>1</v>
      </c>
      <c r="I44" s="188">
        <v>12.669</v>
      </c>
      <c r="J44" s="188" t="s">
        <v>116</v>
      </c>
      <c r="K44" s="188">
        <v>1026</v>
      </c>
      <c r="L44" s="189" t="s">
        <v>117</v>
      </c>
      <c r="M44" s="189" t="s">
        <v>102</v>
      </c>
      <c r="N44" s="190">
        <v>12998.394</v>
      </c>
      <c r="O44" s="189" t="s">
        <v>110</v>
      </c>
      <c r="P44" s="191">
        <v>1E-3</v>
      </c>
      <c r="Q44" s="93" t="s">
        <v>196</v>
      </c>
      <c r="R44" s="191">
        <v>1E-4</v>
      </c>
      <c r="S44" s="93" t="s">
        <v>196</v>
      </c>
      <c r="T44" s="192">
        <v>1</v>
      </c>
      <c r="U44" s="157">
        <v>12.998394000000001</v>
      </c>
      <c r="V44" s="157">
        <v>1.2998394</v>
      </c>
      <c r="X44" s="125">
        <v>0.71231199119999999</v>
      </c>
      <c r="Y44" s="122" t="s">
        <v>118</v>
      </c>
    </row>
    <row r="45" spans="1:25" x14ac:dyDescent="0.25">
      <c r="A45" s="122"/>
      <c r="B45" s="126"/>
      <c r="C45" s="127"/>
      <c r="F45" s="186" t="s">
        <v>36</v>
      </c>
      <c r="G45" s="186" t="s">
        <v>56</v>
      </c>
      <c r="H45" s="193">
        <v>1</v>
      </c>
      <c r="I45" s="188">
        <v>725.72400000000005</v>
      </c>
      <c r="J45" s="188" t="s">
        <v>116</v>
      </c>
      <c r="K45" s="188">
        <v>1026</v>
      </c>
      <c r="L45" s="189" t="s">
        <v>117</v>
      </c>
      <c r="M45" s="189" t="s">
        <v>102</v>
      </c>
      <c r="N45" s="190">
        <v>744592.82400000002</v>
      </c>
      <c r="O45" s="189" t="s">
        <v>195</v>
      </c>
      <c r="P45" s="191">
        <v>1E-3</v>
      </c>
      <c r="Q45" s="93" t="s">
        <v>196</v>
      </c>
      <c r="R45" s="191">
        <v>1E-4</v>
      </c>
      <c r="S45" s="93" t="s">
        <v>196</v>
      </c>
      <c r="T45" s="192">
        <v>1</v>
      </c>
      <c r="U45" s="157">
        <v>744.59282400000006</v>
      </c>
      <c r="V45" s="157">
        <v>74.459282400000006</v>
      </c>
      <c r="X45" s="125">
        <v>40.803686755200005</v>
      </c>
      <c r="Y45" s="122" t="s">
        <v>36</v>
      </c>
    </row>
    <row r="46" spans="1:25" x14ac:dyDescent="0.25">
      <c r="A46" s="122"/>
      <c r="B46" s="126"/>
      <c r="C46" s="127"/>
      <c r="F46" s="186" t="s">
        <v>37</v>
      </c>
      <c r="G46" s="186" t="s">
        <v>56</v>
      </c>
      <c r="H46" s="193">
        <v>1</v>
      </c>
      <c r="I46" s="188">
        <v>12242.859</v>
      </c>
      <c r="J46" s="188" t="s">
        <v>116</v>
      </c>
      <c r="K46" s="188">
        <v>1026</v>
      </c>
      <c r="L46" s="189" t="s">
        <v>117</v>
      </c>
      <c r="M46" s="189" t="s">
        <v>102</v>
      </c>
      <c r="N46" s="190">
        <v>12561173.334000001</v>
      </c>
      <c r="O46" s="189" t="s">
        <v>110</v>
      </c>
      <c r="P46" s="191">
        <v>1E-3</v>
      </c>
      <c r="Q46" s="93" t="s">
        <v>196</v>
      </c>
      <c r="R46" s="191">
        <v>1E-4</v>
      </c>
      <c r="S46" s="93" t="s">
        <v>196</v>
      </c>
      <c r="T46" s="192">
        <v>1</v>
      </c>
      <c r="U46" s="157">
        <v>12561.173334000001</v>
      </c>
      <c r="V46" s="157">
        <v>1256.1173334000002</v>
      </c>
      <c r="X46" s="125">
        <v>688.35229870320018</v>
      </c>
      <c r="Y46" s="122" t="s">
        <v>37</v>
      </c>
    </row>
    <row r="47" spans="1:25" x14ac:dyDescent="0.25">
      <c r="A47" s="122"/>
      <c r="B47" s="126"/>
      <c r="C47" s="127"/>
      <c r="D47" s="68"/>
      <c r="F47" s="186" t="s">
        <v>38</v>
      </c>
      <c r="G47" s="186" t="s">
        <v>56</v>
      </c>
      <c r="H47" s="193">
        <v>1</v>
      </c>
      <c r="I47" s="188">
        <v>45.337400000000002</v>
      </c>
      <c r="J47" s="188" t="s">
        <v>116</v>
      </c>
      <c r="K47" s="188">
        <v>1026</v>
      </c>
      <c r="L47" s="189" t="s">
        <v>117</v>
      </c>
      <c r="M47" s="189" t="s">
        <v>102</v>
      </c>
      <c r="N47" s="190">
        <v>46516.172400000003</v>
      </c>
      <c r="O47" s="189" t="s">
        <v>195</v>
      </c>
      <c r="P47" s="191">
        <v>1E-3</v>
      </c>
      <c r="Q47" s="93" t="s">
        <v>196</v>
      </c>
      <c r="R47" s="191">
        <v>1E-4</v>
      </c>
      <c r="S47" s="93" t="s">
        <v>196</v>
      </c>
      <c r="T47" s="192">
        <v>1</v>
      </c>
      <c r="U47" s="157">
        <v>46.516172400000002</v>
      </c>
      <c r="V47" s="157">
        <v>4.6516172400000002</v>
      </c>
      <c r="X47" s="125">
        <v>2.54908624752</v>
      </c>
      <c r="Y47" s="122" t="s">
        <v>38</v>
      </c>
    </row>
    <row r="48" spans="1:25" x14ac:dyDescent="0.25">
      <c r="A48" s="122"/>
      <c r="B48" s="126"/>
      <c r="C48" s="127"/>
      <c r="D48" s="68"/>
      <c r="F48" s="186" t="s">
        <v>151</v>
      </c>
      <c r="G48" s="186" t="s">
        <v>56</v>
      </c>
      <c r="H48" s="193">
        <v>1</v>
      </c>
      <c r="I48" s="188">
        <v>11.231</v>
      </c>
      <c r="J48" s="188" t="s">
        <v>116</v>
      </c>
      <c r="K48" s="188">
        <v>1026</v>
      </c>
      <c r="L48" s="189" t="s">
        <v>117</v>
      </c>
      <c r="M48" s="189" t="s">
        <v>102</v>
      </c>
      <c r="N48" s="190">
        <v>11523.005999999999</v>
      </c>
      <c r="O48" s="189" t="s">
        <v>110</v>
      </c>
      <c r="P48" s="191">
        <v>1E-3</v>
      </c>
      <c r="Q48" s="93" t="s">
        <v>196</v>
      </c>
      <c r="R48" s="191">
        <v>1E-4</v>
      </c>
      <c r="S48" s="93" t="s">
        <v>196</v>
      </c>
      <c r="T48" s="192">
        <v>1</v>
      </c>
      <c r="U48" s="157">
        <v>11.523006000000001</v>
      </c>
      <c r="V48" s="157">
        <v>1.1523006</v>
      </c>
      <c r="X48" s="125">
        <v>0.63146072879999993</v>
      </c>
      <c r="Y48" s="122" t="s">
        <v>151</v>
      </c>
    </row>
    <row r="49" spans="1:25" x14ac:dyDescent="0.25">
      <c r="A49" s="122"/>
      <c r="B49" s="126"/>
      <c r="C49" s="127"/>
      <c r="F49" s="194"/>
      <c r="G49" s="186"/>
      <c r="H49" s="195">
        <v>1</v>
      </c>
      <c r="I49" s="188">
        <v>0</v>
      </c>
      <c r="J49" s="188">
        <v>0</v>
      </c>
      <c r="K49" s="188">
        <v>0</v>
      </c>
      <c r="L49" s="189" t="s">
        <v>152</v>
      </c>
      <c r="M49" s="189" t="s">
        <v>152</v>
      </c>
      <c r="N49" s="190" t="s">
        <v>152</v>
      </c>
      <c r="O49" s="189"/>
      <c r="P49" s="191"/>
      <c r="Q49" s="93"/>
      <c r="R49" s="191"/>
      <c r="S49" s="93"/>
      <c r="T49" s="192"/>
      <c r="U49" s="157"/>
      <c r="V49" s="157"/>
      <c r="X49" s="125">
        <v>0</v>
      </c>
      <c r="Y49" s="122"/>
    </row>
    <row r="50" spans="1:25" x14ac:dyDescent="0.25">
      <c r="A50" s="122"/>
      <c r="B50" s="126"/>
      <c r="C50" s="127"/>
      <c r="F50" s="194" t="s">
        <v>51</v>
      </c>
      <c r="G50" s="186"/>
      <c r="H50" s="193">
        <v>1</v>
      </c>
      <c r="I50" s="188">
        <v>0</v>
      </c>
      <c r="J50" s="188" t="s">
        <v>116</v>
      </c>
      <c r="K50" s="188">
        <v>16.826809999999998</v>
      </c>
      <c r="L50" s="189" t="s">
        <v>198</v>
      </c>
      <c r="M50" s="189" t="s">
        <v>102</v>
      </c>
      <c r="N50" s="196">
        <v>0</v>
      </c>
      <c r="O50" s="189" t="s">
        <v>110</v>
      </c>
      <c r="P50" s="191">
        <v>1E-3</v>
      </c>
      <c r="Q50" s="93" t="s">
        <v>196</v>
      </c>
      <c r="R50" s="191">
        <v>1E-4</v>
      </c>
      <c r="S50" s="93" t="s">
        <v>196</v>
      </c>
      <c r="T50" s="192">
        <v>1</v>
      </c>
      <c r="U50" s="157">
        <v>0</v>
      </c>
      <c r="V50" s="157">
        <v>0</v>
      </c>
      <c r="X50" s="125">
        <v>0</v>
      </c>
      <c r="Y50" s="122" t="s">
        <v>51</v>
      </c>
    </row>
    <row r="51" spans="1:25" x14ac:dyDescent="0.25">
      <c r="A51" s="122"/>
      <c r="B51" s="126"/>
      <c r="C51" s="127"/>
    </row>
    <row r="52" spans="1:25" x14ac:dyDescent="0.25">
      <c r="A52" s="122"/>
      <c r="B52" s="126"/>
      <c r="C52" s="127"/>
    </row>
    <row r="53" spans="1:25" x14ac:dyDescent="0.25">
      <c r="A53" s="122"/>
      <c r="B53" s="126"/>
      <c r="C53" s="127"/>
    </row>
    <row r="55" spans="1:25" x14ac:dyDescent="0.25">
      <c r="A55" s="198"/>
      <c r="B55" s="198"/>
      <c r="C55" s="198"/>
      <c r="D55" s="114"/>
    </row>
  </sheetData>
  <conditionalFormatting sqref="I41:M47 I48:I49 K49:M49 O41:O46">
    <cfRule type="cellIs" dxfId="3" priority="4" stopIfTrue="1" operator="equal">
      <formula>0</formula>
    </cfRule>
  </conditionalFormatting>
  <conditionalFormatting sqref="J48:M48 J49">
    <cfRule type="cellIs" dxfId="2" priority="3" stopIfTrue="1" operator="equal">
      <formula>0</formula>
    </cfRule>
  </conditionalFormatting>
  <conditionalFormatting sqref="I50:M50">
    <cfRule type="cellIs" dxfId="1" priority="2" stopIfTrue="1" operator="equal">
      <formula>0</formula>
    </cfRule>
  </conditionalFormatting>
  <conditionalFormatting sqref="O47:O50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4"/>
  <sheetViews>
    <sheetView topLeftCell="A46" workbookViewId="0">
      <selection activeCell="G62" sqref="G62"/>
    </sheetView>
  </sheetViews>
  <sheetFormatPr defaultRowHeight="15" customHeight="1" x14ac:dyDescent="0.25"/>
  <cols>
    <col min="1" max="1" width="25.5703125" customWidth="1"/>
    <col min="2" max="2" width="10.7109375" bestFit="1" customWidth="1"/>
    <col min="4" max="4" width="22.28515625" customWidth="1"/>
    <col min="5" max="5" width="12.5703125" bestFit="1" customWidth="1"/>
    <col min="6" max="6" width="10.5703125" bestFit="1" customWidth="1"/>
    <col min="7" max="7" width="16" bestFit="1" customWidth="1"/>
  </cols>
  <sheetData>
    <row r="1" spans="1:10" s="112" customFormat="1" ht="15" customHeight="1" thickBot="1" x14ac:dyDescent="0.3">
      <c r="A1" s="107" t="s">
        <v>148</v>
      </c>
      <c r="B1" s="108">
        <v>2022</v>
      </c>
      <c r="G1" s="213"/>
      <c r="H1" s="213"/>
      <c r="I1" s="213"/>
      <c r="J1" s="213"/>
    </row>
    <row r="2" spans="1:10" s="112" customFormat="1" ht="15" customHeight="1" x14ac:dyDescent="0.35">
      <c r="A2" s="103"/>
      <c r="B2" s="214" t="s">
        <v>180</v>
      </c>
      <c r="C2" s="214"/>
      <c r="D2" s="214"/>
      <c r="E2" s="215"/>
      <c r="F2" s="124">
        <v>0.437</v>
      </c>
      <c r="G2" s="112" t="s">
        <v>205</v>
      </c>
      <c r="H2" s="109"/>
      <c r="I2" s="109"/>
      <c r="J2" s="109"/>
    </row>
    <row r="3" spans="1:10" s="112" customFormat="1" ht="15" customHeight="1" x14ac:dyDescent="0.35">
      <c r="E3" s="112" t="s">
        <v>149</v>
      </c>
      <c r="F3" s="104">
        <f>'Known Resources'!C43</f>
        <v>0.26189282558921434</v>
      </c>
      <c r="G3" s="112" t="s">
        <v>205</v>
      </c>
    </row>
    <row r="4" spans="1:10" ht="49.5" customHeight="1" x14ac:dyDescent="0.25">
      <c r="A4" s="105" t="s">
        <v>141</v>
      </c>
      <c r="B4" s="105" t="s">
        <v>142</v>
      </c>
      <c r="D4" s="105" t="s">
        <v>141</v>
      </c>
      <c r="E4" s="105" t="s">
        <v>143</v>
      </c>
      <c r="F4" s="105" t="s">
        <v>150</v>
      </c>
      <c r="G4" s="106" t="s">
        <v>181</v>
      </c>
      <c r="J4" s="122"/>
    </row>
    <row r="5" spans="1:10" ht="15" customHeight="1" x14ac:dyDescent="0.25">
      <c r="A5" s="198" t="s">
        <v>219</v>
      </c>
      <c r="B5" s="114">
        <v>8</v>
      </c>
      <c r="C5" s="112"/>
      <c r="D5" s="198"/>
      <c r="E5" s="114"/>
      <c r="F5" s="115">
        <f>B5-E5</f>
        <v>8</v>
      </c>
      <c r="G5" s="117">
        <f>IF(F5&gt;0,F5*$F$2,F5*$F$3)</f>
        <v>3.496</v>
      </c>
    </row>
    <row r="6" spans="1:10" ht="15" customHeight="1" x14ac:dyDescent="0.25">
      <c r="A6" s="198" t="s">
        <v>206</v>
      </c>
      <c r="B6" s="114">
        <v>37340</v>
      </c>
      <c r="C6" s="112"/>
      <c r="D6" s="198" t="s">
        <v>206</v>
      </c>
      <c r="E6" s="114">
        <v>213369</v>
      </c>
      <c r="F6" s="115">
        <f t="shared" ref="F6:F55" si="0">B6-E6</f>
        <v>-176029</v>
      </c>
      <c r="G6" s="117">
        <f t="shared" ref="G6:G55" si="1">IF(F6&gt;0,F6*$F$2,F6*$F$3)</f>
        <v>-46100.73219564381</v>
      </c>
    </row>
    <row r="7" spans="1:10" ht="15" customHeight="1" x14ac:dyDescent="0.25">
      <c r="A7" s="197"/>
      <c r="B7" s="197"/>
      <c r="C7" s="112"/>
      <c r="D7" s="198" t="s">
        <v>255</v>
      </c>
      <c r="E7" s="114">
        <v>95</v>
      </c>
      <c r="F7" s="115">
        <f t="shared" si="0"/>
        <v>-95</v>
      </c>
      <c r="G7" s="117">
        <f t="shared" si="1"/>
        <v>-24.879818430975362</v>
      </c>
    </row>
    <row r="8" spans="1:10" ht="15" customHeight="1" x14ac:dyDescent="0.25">
      <c r="A8" s="198" t="s">
        <v>220</v>
      </c>
      <c r="B8" s="114">
        <v>109189</v>
      </c>
      <c r="C8" s="115"/>
      <c r="D8" s="198" t="s">
        <v>220</v>
      </c>
      <c r="E8" s="114">
        <v>271994</v>
      </c>
      <c r="F8" s="115">
        <f t="shared" si="0"/>
        <v>-162805</v>
      </c>
      <c r="G8" s="117">
        <f t="shared" si="1"/>
        <v>-42637.46147005204</v>
      </c>
    </row>
    <row r="9" spans="1:10" ht="15" customHeight="1" x14ac:dyDescent="0.25">
      <c r="A9" s="198" t="s">
        <v>221</v>
      </c>
      <c r="B9" s="114">
        <v>400</v>
      </c>
      <c r="C9" s="112"/>
      <c r="D9" s="198" t="s">
        <v>221</v>
      </c>
      <c r="E9" s="114">
        <v>4048</v>
      </c>
      <c r="F9" s="115">
        <f t="shared" si="0"/>
        <v>-3648</v>
      </c>
      <c r="G9" s="117">
        <f t="shared" si="1"/>
        <v>-955.38502774945391</v>
      </c>
    </row>
    <row r="10" spans="1:10" ht="15" customHeight="1" x14ac:dyDescent="0.25">
      <c r="A10" s="197"/>
      <c r="B10" s="197"/>
      <c r="C10" s="115"/>
      <c r="D10" s="198" t="s">
        <v>212</v>
      </c>
      <c r="E10" s="114">
        <v>62</v>
      </c>
      <c r="F10" s="115">
        <f t="shared" si="0"/>
        <v>-62</v>
      </c>
      <c r="G10" s="117">
        <f t="shared" si="1"/>
        <v>-16.237355186531289</v>
      </c>
    </row>
    <row r="11" spans="1:10" ht="15" customHeight="1" x14ac:dyDescent="0.25">
      <c r="A11" s="198" t="s">
        <v>222</v>
      </c>
      <c r="B11" s="114">
        <v>7126</v>
      </c>
      <c r="C11" s="112"/>
      <c r="D11" s="198" t="s">
        <v>222</v>
      </c>
      <c r="E11" s="114">
        <v>1035</v>
      </c>
      <c r="F11" s="115">
        <f t="shared" si="0"/>
        <v>6091</v>
      </c>
      <c r="G11" s="117">
        <f t="shared" si="1"/>
        <v>2661.7669999999998</v>
      </c>
    </row>
    <row r="12" spans="1:10" ht="15" customHeight="1" x14ac:dyDescent="0.25">
      <c r="A12" s="198" t="s">
        <v>267</v>
      </c>
      <c r="B12" s="114">
        <v>29306</v>
      </c>
      <c r="C12" s="112"/>
      <c r="D12" s="198" t="s">
        <v>223</v>
      </c>
      <c r="E12" s="114">
        <v>314639</v>
      </c>
      <c r="F12" s="115">
        <f t="shared" si="0"/>
        <v>-285333</v>
      </c>
      <c r="G12" s="117">
        <f t="shared" si="1"/>
        <v>-74726.665603847301</v>
      </c>
    </row>
    <row r="13" spans="1:10" ht="15" customHeight="1" x14ac:dyDescent="0.25">
      <c r="A13" s="198" t="s">
        <v>224</v>
      </c>
      <c r="B13" s="114">
        <v>6181</v>
      </c>
      <c r="C13" s="112"/>
      <c r="D13" s="198" t="s">
        <v>224</v>
      </c>
      <c r="E13" s="114">
        <v>9549</v>
      </c>
      <c r="F13" s="115">
        <f t="shared" si="0"/>
        <v>-3368</v>
      </c>
      <c r="G13" s="117">
        <f t="shared" si="1"/>
        <v>-882.0550365844739</v>
      </c>
    </row>
    <row r="14" spans="1:10" ht="15" customHeight="1" x14ac:dyDescent="0.25">
      <c r="A14" s="198" t="s">
        <v>225</v>
      </c>
      <c r="B14" s="114">
        <v>585</v>
      </c>
      <c r="C14" s="112"/>
      <c r="D14" s="198" t="s">
        <v>225</v>
      </c>
      <c r="E14" s="114">
        <v>1987</v>
      </c>
      <c r="F14" s="115">
        <f t="shared" si="0"/>
        <v>-1402</v>
      </c>
      <c r="G14" s="117">
        <f t="shared" si="1"/>
        <v>-367.17374147607848</v>
      </c>
    </row>
    <row r="15" spans="1:10" ht="15" customHeight="1" x14ac:dyDescent="0.25">
      <c r="A15" s="198" t="s">
        <v>226</v>
      </c>
      <c r="B15" s="114">
        <v>7928</v>
      </c>
      <c r="C15" s="112"/>
      <c r="D15" s="198" t="s">
        <v>226</v>
      </c>
      <c r="E15" s="114">
        <v>43289</v>
      </c>
      <c r="F15" s="115">
        <f t="shared" si="0"/>
        <v>-35361</v>
      </c>
      <c r="G15" s="117">
        <f t="shared" si="1"/>
        <v>-9260.7922056602074</v>
      </c>
    </row>
    <row r="16" spans="1:10" ht="15" customHeight="1" x14ac:dyDescent="0.25">
      <c r="A16" s="198" t="s">
        <v>227</v>
      </c>
      <c r="B16" s="114">
        <v>6801</v>
      </c>
      <c r="C16" s="112"/>
      <c r="D16" s="198" t="s">
        <v>227</v>
      </c>
      <c r="E16" s="114">
        <v>16397</v>
      </c>
      <c r="F16" s="115">
        <f t="shared" si="0"/>
        <v>-9596</v>
      </c>
      <c r="G16" s="117">
        <f t="shared" si="1"/>
        <v>-2513.1235543541006</v>
      </c>
    </row>
    <row r="17" spans="1:7" ht="15" customHeight="1" x14ac:dyDescent="0.25">
      <c r="A17" s="198" t="s">
        <v>228</v>
      </c>
      <c r="B17" s="114">
        <v>2275</v>
      </c>
      <c r="C17" s="112"/>
      <c r="D17" s="197"/>
      <c r="E17" s="197"/>
      <c r="F17" s="115">
        <f t="shared" si="0"/>
        <v>2275</v>
      </c>
      <c r="G17" s="117">
        <f t="shared" si="1"/>
        <v>994.17499999999995</v>
      </c>
    </row>
    <row r="18" spans="1:7" ht="15" customHeight="1" x14ac:dyDescent="0.25">
      <c r="A18" s="198" t="s">
        <v>229</v>
      </c>
      <c r="B18" s="114">
        <v>10963</v>
      </c>
      <c r="C18" s="112"/>
      <c r="D18" s="198" t="s">
        <v>229</v>
      </c>
      <c r="E18" s="114">
        <v>15794</v>
      </c>
      <c r="F18" s="115">
        <f t="shared" si="0"/>
        <v>-4831</v>
      </c>
      <c r="G18" s="117">
        <f t="shared" si="1"/>
        <v>-1265.2042404214944</v>
      </c>
    </row>
    <row r="19" spans="1:7" ht="15" customHeight="1" x14ac:dyDescent="0.25">
      <c r="A19" s="198" t="s">
        <v>230</v>
      </c>
      <c r="B19" s="114">
        <v>2543</v>
      </c>
      <c r="C19" s="112"/>
      <c r="D19" s="198" t="s">
        <v>256</v>
      </c>
      <c r="E19" s="114">
        <v>37903</v>
      </c>
      <c r="F19" s="115">
        <f t="shared" si="0"/>
        <v>-35360</v>
      </c>
      <c r="G19" s="117">
        <f t="shared" si="1"/>
        <v>-9260.5303128346186</v>
      </c>
    </row>
    <row r="20" spans="1:7" ht="15" customHeight="1" x14ac:dyDescent="0.25">
      <c r="A20" s="198" t="s">
        <v>207</v>
      </c>
      <c r="B20" s="114">
        <v>10</v>
      </c>
      <c r="C20" s="112"/>
      <c r="D20" s="198"/>
      <c r="E20" s="114"/>
      <c r="F20" s="115">
        <f t="shared" si="0"/>
        <v>10</v>
      </c>
      <c r="G20" s="117">
        <f t="shared" si="1"/>
        <v>4.37</v>
      </c>
    </row>
    <row r="21" spans="1:7" ht="15" customHeight="1" x14ac:dyDescent="0.25">
      <c r="A21" s="198" t="s">
        <v>231</v>
      </c>
      <c r="B21" s="114">
        <v>6703</v>
      </c>
      <c r="C21" s="112"/>
      <c r="D21" s="198" t="s">
        <v>231</v>
      </c>
      <c r="E21" s="114">
        <v>4881</v>
      </c>
      <c r="F21" s="115">
        <f t="shared" si="0"/>
        <v>1822</v>
      </c>
      <c r="G21" s="117">
        <f t="shared" si="1"/>
        <v>796.21400000000006</v>
      </c>
    </row>
    <row r="22" spans="1:7" ht="15" customHeight="1" x14ac:dyDescent="0.25">
      <c r="A22" s="198" t="s">
        <v>232</v>
      </c>
      <c r="B22" s="114">
        <v>13948</v>
      </c>
      <c r="C22" s="112"/>
      <c r="D22" s="198" t="s">
        <v>232</v>
      </c>
      <c r="E22" s="114">
        <v>30923</v>
      </c>
      <c r="F22" s="115">
        <f t="shared" si="0"/>
        <v>-16975</v>
      </c>
      <c r="G22" s="117">
        <f t="shared" si="1"/>
        <v>-4445.6307143769136</v>
      </c>
    </row>
    <row r="23" spans="1:7" ht="15" customHeight="1" x14ac:dyDescent="0.25">
      <c r="A23" s="198" t="s">
        <v>233</v>
      </c>
      <c r="B23" s="114">
        <v>1315</v>
      </c>
      <c r="C23" s="112"/>
      <c r="D23" s="198" t="s">
        <v>215</v>
      </c>
      <c r="E23" s="114">
        <v>17654</v>
      </c>
      <c r="F23" s="115">
        <f t="shared" si="0"/>
        <v>-16339</v>
      </c>
      <c r="G23" s="117">
        <f t="shared" si="1"/>
        <v>-4279.0668773021735</v>
      </c>
    </row>
    <row r="24" spans="1:7" ht="15" customHeight="1" x14ac:dyDescent="0.25">
      <c r="A24" s="198"/>
      <c r="B24" s="114"/>
      <c r="C24" s="112"/>
      <c r="D24" s="198" t="s">
        <v>234</v>
      </c>
      <c r="E24" s="114">
        <v>2</v>
      </c>
      <c r="F24" s="115">
        <f t="shared" si="0"/>
        <v>-2</v>
      </c>
      <c r="G24" s="117">
        <f t="shared" si="1"/>
        <v>-0.52378565117842868</v>
      </c>
    </row>
    <row r="25" spans="1:7" ht="15" customHeight="1" x14ac:dyDescent="0.25">
      <c r="A25" s="198" t="s">
        <v>209</v>
      </c>
      <c r="B25" s="114">
        <v>9</v>
      </c>
      <c r="C25" s="112"/>
      <c r="D25" s="198" t="s">
        <v>209</v>
      </c>
      <c r="E25" s="114">
        <v>397</v>
      </c>
      <c r="F25" s="115">
        <f t="shared" si="0"/>
        <v>-388</v>
      </c>
      <c r="G25" s="117">
        <f t="shared" si="1"/>
        <v>-101.61441632861516</v>
      </c>
    </row>
    <row r="26" spans="1:7" ht="15" customHeight="1" x14ac:dyDescent="0.25">
      <c r="A26" s="198" t="s">
        <v>208</v>
      </c>
      <c r="B26" s="114">
        <v>1607</v>
      </c>
      <c r="C26" s="112"/>
      <c r="D26" s="198" t="s">
        <v>208</v>
      </c>
      <c r="E26" s="114">
        <v>8298</v>
      </c>
      <c r="F26" s="115">
        <f t="shared" si="0"/>
        <v>-6691</v>
      </c>
      <c r="G26" s="117">
        <f t="shared" si="1"/>
        <v>-1752.324896017433</v>
      </c>
    </row>
    <row r="27" spans="1:7" ht="15" customHeight="1" x14ac:dyDescent="0.25">
      <c r="A27" s="198" t="s">
        <v>235</v>
      </c>
      <c r="B27" s="114">
        <v>175</v>
      </c>
      <c r="C27" s="112"/>
      <c r="D27" s="197"/>
      <c r="E27" s="197"/>
      <c r="F27" s="115">
        <f t="shared" si="0"/>
        <v>175</v>
      </c>
      <c r="G27" s="117">
        <f t="shared" si="1"/>
        <v>76.474999999999994</v>
      </c>
    </row>
    <row r="28" spans="1:7" ht="15" customHeight="1" x14ac:dyDescent="0.25">
      <c r="A28" s="198" t="s">
        <v>236</v>
      </c>
      <c r="B28" s="114">
        <v>1976</v>
      </c>
      <c r="C28" s="112"/>
      <c r="D28" s="197"/>
      <c r="E28" s="197"/>
      <c r="F28" s="115">
        <f t="shared" si="0"/>
        <v>1976</v>
      </c>
      <c r="G28" s="117">
        <f t="shared" si="1"/>
        <v>863.51199999999994</v>
      </c>
    </row>
    <row r="29" spans="1:7" ht="15" customHeight="1" x14ac:dyDescent="0.25">
      <c r="A29" s="198" t="s">
        <v>237</v>
      </c>
      <c r="B29" s="114">
        <v>206311</v>
      </c>
      <c r="C29" s="112"/>
      <c r="D29" s="198" t="s">
        <v>237</v>
      </c>
      <c r="E29" s="114">
        <v>204471</v>
      </c>
      <c r="F29" s="115">
        <f t="shared" si="0"/>
        <v>1840</v>
      </c>
      <c r="G29" s="117">
        <f t="shared" si="1"/>
        <v>804.08</v>
      </c>
    </row>
    <row r="30" spans="1:7" ht="15" customHeight="1" x14ac:dyDescent="0.25">
      <c r="A30" s="198" t="s">
        <v>238</v>
      </c>
      <c r="B30" s="114">
        <v>179</v>
      </c>
      <c r="C30" s="112"/>
      <c r="D30" s="197"/>
      <c r="E30" s="197"/>
      <c r="F30" s="115">
        <f t="shared" si="0"/>
        <v>179</v>
      </c>
      <c r="G30" s="117">
        <f t="shared" si="1"/>
        <v>78.222999999999999</v>
      </c>
    </row>
    <row r="31" spans="1:7" ht="15" customHeight="1" x14ac:dyDescent="0.25">
      <c r="A31" s="198" t="s">
        <v>239</v>
      </c>
      <c r="B31" s="114">
        <v>122513</v>
      </c>
      <c r="C31" s="112"/>
      <c r="D31" s="197"/>
      <c r="E31" s="197"/>
      <c r="F31" s="115">
        <f t="shared" si="0"/>
        <v>122513</v>
      </c>
      <c r="G31" s="117">
        <f t="shared" si="1"/>
        <v>53538.180999999997</v>
      </c>
    </row>
    <row r="32" spans="1:7" ht="15" customHeight="1" x14ac:dyDescent="0.25">
      <c r="A32" s="198" t="s">
        <v>47</v>
      </c>
      <c r="B32" s="114">
        <v>228</v>
      </c>
      <c r="C32" s="112"/>
      <c r="D32" s="198" t="s">
        <v>47</v>
      </c>
      <c r="E32" s="114">
        <v>575</v>
      </c>
      <c r="F32" s="115">
        <f t="shared" si="0"/>
        <v>-347</v>
      </c>
      <c r="G32" s="117">
        <f t="shared" si="1"/>
        <v>-90.876810479457376</v>
      </c>
    </row>
    <row r="33" spans="1:7" ht="15" customHeight="1" x14ac:dyDescent="0.25">
      <c r="A33" s="198" t="s">
        <v>210</v>
      </c>
      <c r="B33" s="114">
        <v>15476</v>
      </c>
      <c r="C33" s="112"/>
      <c r="D33" s="198" t="s">
        <v>48</v>
      </c>
      <c r="E33" s="114">
        <v>61571</v>
      </c>
      <c r="F33" s="115">
        <f t="shared" si="0"/>
        <v>-46095</v>
      </c>
      <c r="G33" s="117">
        <f t="shared" si="1"/>
        <v>-12071.949795534834</v>
      </c>
    </row>
    <row r="34" spans="1:7" ht="15" customHeight="1" x14ac:dyDescent="0.25">
      <c r="A34" s="198" t="s">
        <v>240</v>
      </c>
      <c r="B34" s="114">
        <v>1049</v>
      </c>
      <c r="C34" s="112"/>
      <c r="D34" s="198" t="s">
        <v>240</v>
      </c>
      <c r="E34" s="114">
        <v>8399</v>
      </c>
      <c r="F34" s="115">
        <f t="shared" si="0"/>
        <v>-7350</v>
      </c>
      <c r="G34" s="117">
        <f t="shared" si="1"/>
        <v>-1924.9122680807254</v>
      </c>
    </row>
    <row r="35" spans="1:7" ht="15" customHeight="1" x14ac:dyDescent="0.25">
      <c r="A35" s="198" t="s">
        <v>49</v>
      </c>
      <c r="B35" s="114">
        <v>35902</v>
      </c>
      <c r="C35" s="118"/>
      <c r="D35" s="198" t="s">
        <v>49</v>
      </c>
      <c r="E35" s="114">
        <v>616753</v>
      </c>
      <c r="F35" s="115">
        <f t="shared" si="0"/>
        <v>-580851</v>
      </c>
      <c r="G35" s="117">
        <f t="shared" si="1"/>
        <v>-152120.70963632074</v>
      </c>
    </row>
    <row r="36" spans="1:7" ht="15" customHeight="1" x14ac:dyDescent="0.25">
      <c r="A36" s="198"/>
      <c r="B36" s="114"/>
      <c r="C36" s="112"/>
      <c r="D36" s="198" t="s">
        <v>214</v>
      </c>
      <c r="E36" s="114">
        <v>31</v>
      </c>
      <c r="F36" s="115">
        <f t="shared" si="0"/>
        <v>-31</v>
      </c>
      <c r="G36" s="117">
        <f t="shared" si="1"/>
        <v>-8.1186775932656445</v>
      </c>
    </row>
    <row r="37" spans="1:7" ht="15" customHeight="1" x14ac:dyDescent="0.25">
      <c r="A37" s="198" t="s">
        <v>241</v>
      </c>
      <c r="B37" s="114">
        <v>1653</v>
      </c>
      <c r="C37" s="112"/>
      <c r="D37" s="198" t="s">
        <v>241</v>
      </c>
      <c r="E37" s="114">
        <v>813</v>
      </c>
      <c r="F37" s="115">
        <f t="shared" si="0"/>
        <v>840</v>
      </c>
      <c r="G37" s="117">
        <f t="shared" si="1"/>
        <v>367.08</v>
      </c>
    </row>
    <row r="38" spans="1:7" ht="15" customHeight="1" x14ac:dyDescent="0.25">
      <c r="A38" s="198" t="s">
        <v>211</v>
      </c>
      <c r="B38" s="114">
        <v>1000</v>
      </c>
      <c r="C38" s="112"/>
      <c r="D38" s="197"/>
      <c r="E38" s="197"/>
      <c r="F38" s="115">
        <f t="shared" si="0"/>
        <v>1000</v>
      </c>
      <c r="G38" s="117">
        <f t="shared" si="1"/>
        <v>437</v>
      </c>
    </row>
    <row r="39" spans="1:7" ht="15" customHeight="1" x14ac:dyDescent="0.25">
      <c r="A39" s="198" t="s">
        <v>242</v>
      </c>
      <c r="B39" s="114">
        <v>303319</v>
      </c>
      <c r="C39" s="112"/>
      <c r="D39" s="198" t="s">
        <v>242</v>
      </c>
      <c r="E39" s="114">
        <v>93472</v>
      </c>
      <c r="F39" s="115">
        <f t="shared" si="0"/>
        <v>209847</v>
      </c>
      <c r="G39" s="117">
        <f t="shared" si="1"/>
        <v>91703.138999999996</v>
      </c>
    </row>
    <row r="40" spans="1:7" ht="15" customHeight="1" x14ac:dyDescent="0.25">
      <c r="A40" s="198" t="s">
        <v>50</v>
      </c>
      <c r="B40" s="114">
        <v>77209</v>
      </c>
      <c r="C40" s="112"/>
      <c r="D40" s="198" t="s">
        <v>50</v>
      </c>
      <c r="E40" s="114">
        <v>190371</v>
      </c>
      <c r="F40" s="115">
        <f t="shared" si="0"/>
        <v>-113162</v>
      </c>
      <c r="G40" s="117">
        <f t="shared" si="1"/>
        <v>-29636.315929326673</v>
      </c>
    </row>
    <row r="41" spans="1:7" ht="15" customHeight="1" x14ac:dyDescent="0.25">
      <c r="A41" s="198"/>
      <c r="B41" s="114"/>
      <c r="C41" s="112"/>
      <c r="D41" s="198" t="s">
        <v>257</v>
      </c>
      <c r="E41" s="114">
        <v>27136</v>
      </c>
      <c r="F41" s="115">
        <f t="shared" si="0"/>
        <v>-27136</v>
      </c>
      <c r="G41" s="117">
        <f t="shared" si="1"/>
        <v>-7106.7237151889203</v>
      </c>
    </row>
    <row r="42" spans="1:7" ht="15" customHeight="1" x14ac:dyDescent="0.25">
      <c r="A42" s="198" t="s">
        <v>243</v>
      </c>
      <c r="B42" s="114">
        <v>20695</v>
      </c>
      <c r="C42" s="112"/>
      <c r="D42" s="198" t="s">
        <v>243</v>
      </c>
      <c r="E42" s="114">
        <v>84228</v>
      </c>
      <c r="F42" s="115">
        <f t="shared" si="0"/>
        <v>-63533</v>
      </c>
      <c r="G42" s="117">
        <f t="shared" si="1"/>
        <v>-16638.836888159556</v>
      </c>
    </row>
    <row r="43" spans="1:7" ht="15" customHeight="1" x14ac:dyDescent="0.25">
      <c r="A43" s="198" t="s">
        <v>244</v>
      </c>
      <c r="B43" s="114">
        <v>38090</v>
      </c>
      <c r="C43" s="112"/>
      <c r="D43" s="198" t="s">
        <v>244</v>
      </c>
      <c r="E43" s="114">
        <v>219610</v>
      </c>
      <c r="F43" s="115">
        <f t="shared" si="0"/>
        <v>-181520</v>
      </c>
      <c r="G43" s="117">
        <f t="shared" si="1"/>
        <v>-47538.785700954184</v>
      </c>
    </row>
    <row r="44" spans="1:7" ht="15" customHeight="1" x14ac:dyDescent="0.25">
      <c r="A44" s="198" t="s">
        <v>245</v>
      </c>
      <c r="B44" s="114">
        <v>1</v>
      </c>
      <c r="C44" s="112"/>
      <c r="D44" s="198" t="s">
        <v>245</v>
      </c>
      <c r="E44" s="114">
        <v>205328</v>
      </c>
      <c r="F44" s="115">
        <f t="shared" si="0"/>
        <v>-205327</v>
      </c>
      <c r="G44" s="117">
        <f t="shared" si="1"/>
        <v>-53773.668199756612</v>
      </c>
    </row>
    <row r="45" spans="1:7" ht="15" customHeight="1" x14ac:dyDescent="0.25">
      <c r="A45" s="198"/>
      <c r="B45" s="114"/>
      <c r="C45" s="112"/>
      <c r="D45" s="198" t="s">
        <v>246</v>
      </c>
      <c r="E45" s="114">
        <v>7</v>
      </c>
      <c r="F45" s="115">
        <f t="shared" si="0"/>
        <v>-7</v>
      </c>
      <c r="G45" s="117">
        <f t="shared" si="1"/>
        <v>-1.8332497791245004</v>
      </c>
    </row>
    <row r="46" spans="1:7" ht="15" customHeight="1" x14ac:dyDescent="0.25">
      <c r="A46" s="198" t="s">
        <v>247</v>
      </c>
      <c r="B46" s="114">
        <v>37065</v>
      </c>
      <c r="C46" s="112"/>
      <c r="D46" s="198" t="s">
        <v>247</v>
      </c>
      <c r="E46" s="114">
        <v>64040</v>
      </c>
      <c r="F46" s="115">
        <f t="shared" si="0"/>
        <v>-26975</v>
      </c>
      <c r="G46" s="117">
        <f t="shared" si="1"/>
        <v>-7064.5589702690568</v>
      </c>
    </row>
    <row r="47" spans="1:7" ht="15" customHeight="1" x14ac:dyDescent="0.25">
      <c r="A47" s="198" t="s">
        <v>248</v>
      </c>
      <c r="B47" s="114">
        <v>1298</v>
      </c>
      <c r="C47" s="112"/>
      <c r="D47" s="198" t="s">
        <v>258</v>
      </c>
      <c r="E47" s="114">
        <v>10058</v>
      </c>
      <c r="F47" s="115">
        <f t="shared" si="0"/>
        <v>-8760</v>
      </c>
      <c r="G47" s="117">
        <f t="shared" si="1"/>
        <v>-2294.1811521615177</v>
      </c>
    </row>
    <row r="48" spans="1:7" ht="15" customHeight="1" x14ac:dyDescent="0.25">
      <c r="A48" s="198" t="s">
        <v>249</v>
      </c>
      <c r="B48" s="114">
        <v>14931</v>
      </c>
      <c r="C48" s="112"/>
      <c r="D48" s="198" t="s">
        <v>249</v>
      </c>
      <c r="E48" s="114">
        <v>82761</v>
      </c>
      <c r="F48" s="115">
        <f t="shared" si="0"/>
        <v>-67830</v>
      </c>
      <c r="G48" s="117">
        <f t="shared" si="1"/>
        <v>-17764.190359716409</v>
      </c>
    </row>
    <row r="49" spans="1:7" ht="15" customHeight="1" x14ac:dyDescent="0.25">
      <c r="A49" s="198"/>
      <c r="B49" s="114"/>
      <c r="C49" s="118"/>
      <c r="D49" s="198" t="s">
        <v>259</v>
      </c>
      <c r="E49" s="114">
        <v>16</v>
      </c>
      <c r="F49" s="115">
        <f t="shared" si="0"/>
        <v>-16</v>
      </c>
      <c r="G49" s="117">
        <f t="shared" si="1"/>
        <v>-4.1902852094274294</v>
      </c>
    </row>
    <row r="50" spans="1:7" ht="15" customHeight="1" x14ac:dyDescent="0.25">
      <c r="A50" s="198" t="s">
        <v>250</v>
      </c>
      <c r="B50" s="114">
        <v>5370</v>
      </c>
      <c r="C50" s="112"/>
      <c r="D50" s="198" t="s">
        <v>250</v>
      </c>
      <c r="E50" s="114">
        <v>6835</v>
      </c>
      <c r="F50" s="115">
        <f t="shared" si="0"/>
        <v>-1465</v>
      </c>
      <c r="G50" s="117">
        <f t="shared" si="1"/>
        <v>-383.67298948819899</v>
      </c>
    </row>
    <row r="51" spans="1:7" ht="15" customHeight="1" x14ac:dyDescent="0.25">
      <c r="A51" s="198"/>
      <c r="B51" s="114"/>
      <c r="C51" s="112"/>
      <c r="D51" s="198" t="s">
        <v>260</v>
      </c>
      <c r="E51" s="114">
        <v>9989</v>
      </c>
      <c r="F51" s="115">
        <f t="shared" si="0"/>
        <v>-9989</v>
      </c>
      <c r="G51" s="117">
        <f t="shared" si="1"/>
        <v>-2616.0474348106623</v>
      </c>
    </row>
    <row r="52" spans="1:7" ht="15" customHeight="1" x14ac:dyDescent="0.25">
      <c r="A52" s="198" t="s">
        <v>52</v>
      </c>
      <c r="B52" s="114">
        <v>8103</v>
      </c>
      <c r="C52" s="112"/>
      <c r="D52" s="198" t="s">
        <v>52</v>
      </c>
      <c r="E52" s="114">
        <v>17565</v>
      </c>
      <c r="F52" s="115">
        <f t="shared" si="0"/>
        <v>-9462</v>
      </c>
      <c r="G52" s="117">
        <f t="shared" si="1"/>
        <v>-2478.0299157251461</v>
      </c>
    </row>
    <row r="53" spans="1:7" ht="15" customHeight="1" x14ac:dyDescent="0.25">
      <c r="A53" s="198" t="s">
        <v>251</v>
      </c>
      <c r="B53" s="114">
        <v>106268</v>
      </c>
      <c r="C53" s="112"/>
      <c r="D53" s="198"/>
      <c r="E53" s="114"/>
      <c r="F53" s="115">
        <f t="shared" si="0"/>
        <v>106268</v>
      </c>
      <c r="G53" s="117">
        <f t="shared" si="1"/>
        <v>46439.116000000002</v>
      </c>
    </row>
    <row r="54" spans="1:7" ht="15" customHeight="1" x14ac:dyDescent="0.25">
      <c r="A54" s="198" t="s">
        <v>252</v>
      </c>
      <c r="B54" s="114">
        <v>16685</v>
      </c>
      <c r="C54" s="112"/>
      <c r="D54" s="198" t="s">
        <v>252</v>
      </c>
      <c r="E54" s="114">
        <v>10612</v>
      </c>
      <c r="F54" s="115">
        <f t="shared" si="0"/>
        <v>6073</v>
      </c>
      <c r="G54" s="117">
        <f t="shared" si="1"/>
        <v>2653.9009999999998</v>
      </c>
    </row>
    <row r="55" spans="1:7" ht="15" customHeight="1" x14ac:dyDescent="0.25">
      <c r="A55" s="198"/>
      <c r="B55" s="114"/>
      <c r="C55" s="112"/>
      <c r="D55" s="198" t="s">
        <v>213</v>
      </c>
      <c r="E55" s="114">
        <v>8079</v>
      </c>
      <c r="F55" s="115">
        <f t="shared" si="0"/>
        <v>-8079</v>
      </c>
      <c r="G55" s="117">
        <f t="shared" si="1"/>
        <v>-2115.8321379352628</v>
      </c>
    </row>
    <row r="56" spans="1:7" ht="15" customHeight="1" x14ac:dyDescent="0.25">
      <c r="A56" s="198" t="s">
        <v>153</v>
      </c>
      <c r="B56" s="114">
        <v>110</v>
      </c>
      <c r="C56" s="112"/>
      <c r="D56" s="198" t="s">
        <v>153</v>
      </c>
      <c r="E56" s="114">
        <v>477</v>
      </c>
      <c r="F56" s="115">
        <f t="shared" ref="F56:F57" si="2">B56-E56</f>
        <v>-367</v>
      </c>
      <c r="G56" s="117">
        <f t="shared" ref="G56:G57" si="3">IF(F56&gt;0,F56*$F$2,F56*$F$3)</f>
        <v>-96.114666991241663</v>
      </c>
    </row>
    <row r="57" spans="1:7" ht="15" customHeight="1" x14ac:dyDescent="0.25">
      <c r="A57" s="198" t="s">
        <v>253</v>
      </c>
      <c r="B57" s="114">
        <v>4822</v>
      </c>
      <c r="C57" s="112"/>
      <c r="D57" s="198" t="s">
        <v>253</v>
      </c>
      <c r="E57" s="114">
        <v>8610</v>
      </c>
      <c r="F57" s="115">
        <f t="shared" si="2"/>
        <v>-3788</v>
      </c>
      <c r="G57" s="117">
        <f t="shared" si="3"/>
        <v>-992.05002333194398</v>
      </c>
    </row>
    <row r="58" spans="1:7" ht="15" customHeight="1" x14ac:dyDescent="0.25">
      <c r="A58" s="198" t="s">
        <v>254</v>
      </c>
      <c r="B58" s="114">
        <v>44446</v>
      </c>
      <c r="C58" s="112"/>
      <c r="D58" s="198" t="s">
        <v>254</v>
      </c>
      <c r="E58" s="114">
        <v>218407</v>
      </c>
      <c r="F58" s="115"/>
      <c r="G58" s="117"/>
    </row>
    <row r="59" spans="1:7" ht="15" customHeight="1" x14ac:dyDescent="0.25">
      <c r="A59" s="198" t="s">
        <v>144</v>
      </c>
      <c r="B59" s="114">
        <v>1670</v>
      </c>
      <c r="D59" s="197"/>
      <c r="E59" s="197"/>
      <c r="F59" s="115"/>
      <c r="G59" s="117"/>
    </row>
    <row r="60" spans="1:7" ht="15" customHeight="1" x14ac:dyDescent="0.25">
      <c r="A60" s="198" t="s">
        <v>166</v>
      </c>
      <c r="B60" s="114">
        <v>3273</v>
      </c>
      <c r="D60" s="198" t="s">
        <v>261</v>
      </c>
      <c r="E60" s="114">
        <v>1956</v>
      </c>
      <c r="F60" s="115"/>
      <c r="G60" s="117"/>
    </row>
    <row r="62" spans="1:7" ht="15" customHeight="1" x14ac:dyDescent="0.25">
      <c r="A62" s="110"/>
      <c r="B62" s="111"/>
      <c r="D62" s="113"/>
      <c r="E62" s="114"/>
      <c r="F62" s="115">
        <f>SUM(F5:F60)</f>
        <v>-1659458</v>
      </c>
      <c r="G62" s="104">
        <f>SUM(G5:G60)/2000</f>
        <v>-176.94513552936516</v>
      </c>
    </row>
    <row r="63" spans="1:7" ht="15" customHeight="1" x14ac:dyDescent="0.25">
      <c r="A63" s="110"/>
      <c r="B63" s="111"/>
    </row>
    <row r="66" spans="1:7" ht="15" customHeight="1" x14ac:dyDescent="0.25">
      <c r="G66" s="115"/>
    </row>
    <row r="68" spans="1:7" ht="15" customHeight="1" x14ac:dyDescent="0.25">
      <c r="A68" s="110"/>
      <c r="B68" s="111"/>
      <c r="D68" s="113"/>
      <c r="E68" s="114"/>
    </row>
    <row r="69" spans="1:7" ht="15" customHeight="1" x14ac:dyDescent="0.25">
      <c r="G69" s="115"/>
    </row>
    <row r="70" spans="1:7" ht="15" customHeight="1" x14ac:dyDescent="0.25">
      <c r="A70" s="109"/>
      <c r="B70" s="109"/>
    </row>
    <row r="73" spans="1:7" ht="15" customHeight="1" x14ac:dyDescent="0.25">
      <c r="A73" s="110"/>
      <c r="B73" s="111"/>
      <c r="D73" s="113"/>
      <c r="E73" s="114"/>
    </row>
    <row r="74" spans="1:7" ht="15" customHeight="1" x14ac:dyDescent="0.25">
      <c r="G74" s="115"/>
    </row>
    <row r="75" spans="1:7" ht="15" customHeight="1" x14ac:dyDescent="0.25">
      <c r="A75" s="110"/>
      <c r="B75" s="111"/>
      <c r="D75" s="113"/>
      <c r="E75" s="114"/>
    </row>
    <row r="84" spans="1:7" ht="15" customHeight="1" x14ac:dyDescent="0.25">
      <c r="A84" s="110"/>
      <c r="B84" s="111"/>
      <c r="D84" s="113"/>
      <c r="E84" s="114"/>
    </row>
    <row r="85" spans="1:7" ht="15" customHeight="1" x14ac:dyDescent="0.25">
      <c r="A85" s="110"/>
      <c r="B85" s="111"/>
      <c r="D85" s="113"/>
      <c r="E85" s="114"/>
    </row>
    <row r="86" spans="1:7" ht="15" customHeight="1" x14ac:dyDescent="0.25">
      <c r="G86" s="115"/>
    </row>
    <row r="91" spans="1:7" ht="15" customHeight="1" x14ac:dyDescent="0.25">
      <c r="F91" s="115"/>
    </row>
    <row r="94" spans="1:7" ht="15" customHeight="1" x14ac:dyDescent="0.25">
      <c r="D94" s="113"/>
      <c r="E94" s="114"/>
    </row>
  </sheetData>
  <mergeCells count="2">
    <mergeCell ref="G1:J1"/>
    <mergeCell ref="B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2023-05-26T07:00:00+00:00</OpenedDate>
    <Date1 xmlns="dc463f71-b30c-4ab2-9473-d307f9d35888">2023-05-26T07:00:00+00:00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230395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2D7E5F3D3CD34D9E05A843AE1ABBD0" ma:contentTypeVersion="16" ma:contentTypeDescription="" ma:contentTypeScope="" ma:versionID="9e35ef974e61c440bafb3e8736fa5e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E9A666-DD2C-4D97-841E-3EF7E3B9C9A8}"/>
</file>

<file path=customXml/itemProps3.xml><?xml version="1.0" encoding="utf-8"?>
<ds:datastoreItem xmlns:ds="http://schemas.openxmlformats.org/officeDocument/2006/customXml" ds:itemID="{57BE1F28-303A-4833-8A05-0A33588D1988}">
  <ds:schemaRefs>
    <ds:schemaRef ds:uri="dc463f71-b30c-4ab2-9473-d307f9d35888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F24F4F03-680A-4C44-9FBE-D19B83FC81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cp:lastPrinted>2016-12-29T16:53:17Z</cp:lastPrinted>
  <dcterms:created xsi:type="dcterms:W3CDTF">2016-02-08T23:38:12Z</dcterms:created>
  <dcterms:modified xsi:type="dcterms:W3CDTF">2023-05-11T16:52:16Z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0x0101006E56B4D1795A2E4DB2F0B01679ED314A00CD2D7E5F3D3CD34D9E05A843AE1ABBD0</vt:lpwstr>
  </property>
  <property fmtid="{D5CDD505-2E9C-101B-9397-08002B2CF9AE}" pid="3" name="_docset_NoMedatataSyncRequired">
    <vt:lpwstr>False</vt:lpwstr>
  </property>
</Properties>
</file>