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lient Data\Sound Disposal\Commodity Credit Filing 2-23\"/>
    </mc:Choice>
  </mc:AlternateContent>
  <xr:revisionPtr revIDLastSave="0" documentId="13_ncr:1_{6372B6E0-9A81-49B7-B258-91010D7F12C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Analysis" sheetId="4" r:id="rId1"/>
    <sheet name="Data" sheetId="1" r:id="rId2"/>
    <sheet name="Cust-PickUps" sheetId="5" r:id="rId3"/>
    <sheet name="Customer Summary" sheetId="7" r:id="rId4"/>
    <sheet name="Calcs revised method" sheetId="6" r:id="rId5"/>
  </sheets>
  <externalReferences>
    <externalReference r:id="rId6"/>
  </externalReferences>
  <definedNames>
    <definedName name="BREMAIR_COST_of_SERVICE_STUDY" localSheetId="3">#REF!</definedName>
    <definedName name="BREMAIR_COST_of_SERVICE_STUDY">#REF!</definedName>
    <definedName name="color" localSheetId="0">#REF!</definedName>
    <definedName name="color">#REF!</definedName>
    <definedName name="_xlnm.Print_Area" localSheetId="0">Analysis!$A$1:$L$84</definedName>
    <definedName name="_xlnm.Print_Area" localSheetId="3">'Customer Summary'!$A$1:$O$14</definedName>
    <definedName name="_xlnm.Print_Area" localSheetId="2">'Cust-PickUps'!$A$1:$J$21</definedName>
    <definedName name="_xlnm.Print_Area" localSheetId="1">Data!$A$1:$H$24</definedName>
    <definedName name="Print1">#REF!</definedName>
    <definedName name="Print2">#REF!</definedName>
  </definedNames>
  <calcPr calcId="181029" iterate="1" iterateCount="200"/>
</workbook>
</file>

<file path=xl/calcChain.xml><?xml version="1.0" encoding="utf-8"?>
<calcChain xmlns="http://schemas.openxmlformats.org/spreadsheetml/2006/main">
  <c r="F90" i="4" l="1"/>
  <c r="F89" i="4"/>
  <c r="F88" i="4"/>
  <c r="F87" i="4"/>
  <c r="F28" i="4"/>
  <c r="N18" i="1"/>
  <c r="A68" i="4"/>
  <c r="F6" i="1"/>
  <c r="G6" i="1"/>
  <c r="G7" i="1"/>
  <c r="G8" i="1"/>
  <c r="H8" i="1"/>
  <c r="F10" i="1"/>
  <c r="C19" i="1"/>
  <c r="C6" i="1"/>
  <c r="H6" i="1" s="1"/>
  <c r="D6" i="1"/>
  <c r="C7" i="1"/>
  <c r="F7" i="1" s="1"/>
  <c r="D7" i="1"/>
  <c r="C8" i="1"/>
  <c r="F8" i="1" s="1"/>
  <c r="D8" i="1"/>
  <c r="C9" i="1"/>
  <c r="F9" i="1" s="1"/>
  <c r="D9" i="1"/>
  <c r="C10" i="1"/>
  <c r="H10" i="1" s="1"/>
  <c r="D10" i="1"/>
  <c r="D5" i="1"/>
  <c r="D18" i="1" s="1"/>
  <c r="C5" i="1"/>
  <c r="H5" i="1" s="1"/>
  <c r="C18" i="1" l="1"/>
  <c r="E18" i="1" s="1"/>
  <c r="G10" i="1"/>
  <c r="H7" i="1"/>
  <c r="H9" i="1"/>
  <c r="G9" i="1"/>
  <c r="F5" i="1"/>
  <c r="G5" i="1"/>
  <c r="B18" i="1"/>
  <c r="E10" i="1"/>
  <c r="E9" i="1"/>
  <c r="E8" i="1"/>
  <c r="C64" i="4"/>
  <c r="C65" i="4" s="1"/>
  <c r="C39" i="4"/>
  <c r="C40" i="4" s="1"/>
  <c r="I20" i="5"/>
  <c r="I19" i="5"/>
  <c r="I18" i="5"/>
  <c r="I16" i="5"/>
  <c r="I12" i="5"/>
  <c r="I13" i="5"/>
  <c r="I14" i="5"/>
  <c r="I15" i="5"/>
  <c r="I11" i="5"/>
  <c r="D16" i="5"/>
  <c r="F12" i="5"/>
  <c r="F13" i="5"/>
  <c r="F14" i="5"/>
  <c r="F15" i="5"/>
  <c r="F11" i="5"/>
  <c r="E15" i="5"/>
  <c r="E14" i="5"/>
  <c r="E13" i="5"/>
  <c r="E12" i="5"/>
  <c r="E11" i="5"/>
  <c r="D15" i="5"/>
  <c r="D14" i="5"/>
  <c r="D13" i="5"/>
  <c r="D12" i="5"/>
  <c r="D11" i="5"/>
  <c r="C12" i="4"/>
  <c r="C11" i="4"/>
  <c r="N12" i="7" l="1"/>
  <c r="N11" i="7"/>
  <c r="N10" i="7"/>
  <c r="N9" i="7"/>
  <c r="N8" i="7"/>
  <c r="N22" i="7"/>
  <c r="N21" i="7"/>
  <c r="N20" i="7"/>
  <c r="N19" i="7"/>
  <c r="N18" i="7"/>
  <c r="C66" i="4" l="1"/>
  <c r="A51" i="4"/>
  <c r="A76" i="4" s="1"/>
  <c r="A40" i="4"/>
  <c r="A65" i="4" s="1"/>
  <c r="C41" i="4"/>
  <c r="E47" i="4" s="1"/>
  <c r="A39" i="4"/>
  <c r="A64" i="4" s="1"/>
  <c r="A38" i="4"/>
  <c r="A63" i="4" s="1"/>
  <c r="C13" i="4"/>
  <c r="E19" i="4" s="1"/>
  <c r="E24" i="4" s="1"/>
  <c r="E77" i="4" l="1"/>
  <c r="E72" i="4"/>
  <c r="E52" i="4"/>
  <c r="I11" i="4" l="1"/>
  <c r="I12" i="4"/>
  <c r="I65" i="4"/>
  <c r="I39" i="4" l="1"/>
  <c r="I40" i="4"/>
  <c r="I64" i="4"/>
  <c r="I66" i="4" s="1"/>
  <c r="X16" i="5"/>
  <c r="Y15" i="5"/>
  <c r="AC15" i="5" s="1"/>
  <c r="Y14" i="5"/>
  <c r="AC14" i="5" s="1"/>
  <c r="Y13" i="5"/>
  <c r="AC13" i="5" s="1"/>
  <c r="Y12" i="5"/>
  <c r="AC12" i="5" s="1"/>
  <c r="AE11" i="5"/>
  <c r="Y11" i="5"/>
  <c r="AC11" i="5" s="1"/>
  <c r="L18" i="1"/>
  <c r="K18" i="1"/>
  <c r="M18" i="1"/>
  <c r="N15" i="1"/>
  <c r="N14" i="1"/>
  <c r="N13" i="1"/>
  <c r="N12" i="1"/>
  <c r="N11" i="1"/>
  <c r="N10" i="1"/>
  <c r="N9" i="1"/>
  <c r="N8" i="1"/>
  <c r="N7" i="1"/>
  <c r="N6" i="1"/>
  <c r="N5" i="1"/>
  <c r="I13" i="4"/>
  <c r="K19" i="4" s="1"/>
  <c r="K24" i="4" s="1"/>
  <c r="G38" i="4"/>
  <c r="G63" i="4" s="1"/>
  <c r="G39" i="4"/>
  <c r="G64" i="4" s="1"/>
  <c r="G40" i="4"/>
  <c r="G65" i="4" s="1"/>
  <c r="G51" i="4"/>
  <c r="G76" i="4" s="1"/>
  <c r="Z14" i="5" l="1"/>
  <c r="I41" i="4"/>
  <c r="K52" i="4" s="1"/>
  <c r="Z13" i="5"/>
  <c r="Z12" i="5"/>
  <c r="N20" i="1"/>
  <c r="N16" i="1"/>
  <c r="AC16" i="5"/>
  <c r="AC18" i="5" s="1"/>
  <c r="Z15" i="5"/>
  <c r="Z11" i="5"/>
  <c r="K72" i="4"/>
  <c r="K77" i="4"/>
  <c r="K47" i="4" l="1"/>
  <c r="AC20" i="5"/>
  <c r="AC19" i="5"/>
  <c r="X16" i="1"/>
  <c r="O12" i="4"/>
  <c r="O11" i="4"/>
  <c r="AQ11" i="5"/>
  <c r="P64" i="4" l="1"/>
  <c r="M51" i="4"/>
  <c r="M76" i="4" s="1"/>
  <c r="M40" i="4"/>
  <c r="M65" i="4" s="1"/>
  <c r="M39" i="4"/>
  <c r="M64" i="4" s="1"/>
  <c r="M38" i="4"/>
  <c r="M63" i="4" s="1"/>
  <c r="Y16" i="1"/>
  <c r="Y5" i="1"/>
  <c r="X18" i="1"/>
  <c r="W18" i="1"/>
  <c r="V18" i="1"/>
  <c r="Y15" i="1"/>
  <c r="Y14" i="1"/>
  <c r="Y13" i="1"/>
  <c r="Y12" i="1"/>
  <c r="Y11" i="1"/>
  <c r="Y10" i="1"/>
  <c r="Y9" i="1"/>
  <c r="Y8" i="1"/>
  <c r="Y7" i="1"/>
  <c r="Y6" i="1"/>
  <c r="AJ16" i="5"/>
  <c r="AK15" i="5"/>
  <c r="AO15" i="5" s="1"/>
  <c r="AK14" i="5"/>
  <c r="AK13" i="5"/>
  <c r="AL13" i="5" s="1"/>
  <c r="AK12" i="5"/>
  <c r="AK11" i="5"/>
  <c r="AO11" i="5" s="1"/>
  <c r="AO14" i="5" l="1"/>
  <c r="O65" i="4"/>
  <c r="O64" i="4"/>
  <c r="Q64" i="4" s="1"/>
  <c r="AO12" i="5"/>
  <c r="O39" i="4"/>
  <c r="O40" i="4"/>
  <c r="Y18" i="1"/>
  <c r="Y20" i="1" s="1"/>
  <c r="AL12" i="5"/>
  <c r="AO13" i="5"/>
  <c r="AL15" i="5"/>
  <c r="AL11" i="5"/>
  <c r="AL14" i="5"/>
  <c r="AI5" i="1"/>
  <c r="D14" i="6" s="1"/>
  <c r="AO16" i="5" l="1"/>
  <c r="AO20" i="5" s="1"/>
  <c r="O66" i="4"/>
  <c r="AA11" i="4"/>
  <c r="U11" i="4" s="1"/>
  <c r="AW11" i="5"/>
  <c r="BA11" i="5" s="1"/>
  <c r="AO18" i="5" l="1"/>
  <c r="AO19" i="5"/>
  <c r="Q39" i="4"/>
  <c r="O41" i="4"/>
  <c r="Q72" i="4"/>
  <c r="Q77" i="4"/>
  <c r="AW15" i="5"/>
  <c r="BA15" i="5" s="1"/>
  <c r="AW13" i="5"/>
  <c r="BA13" i="5" s="1"/>
  <c r="AW14" i="5"/>
  <c r="AV16" i="5"/>
  <c r="AW12" i="5"/>
  <c r="Q47" i="4" l="1"/>
  <c r="Q52" i="4"/>
  <c r="U65" i="4"/>
  <c r="U64" i="4"/>
  <c r="BA14" i="5"/>
  <c r="AX14" i="5"/>
  <c r="AX13" i="5"/>
  <c r="U40" i="4"/>
  <c r="U39" i="4"/>
  <c r="BA12" i="5"/>
  <c r="H10" i="6"/>
  <c r="L10" i="6"/>
  <c r="D10" i="6"/>
  <c r="G10" i="6"/>
  <c r="E10" i="6"/>
  <c r="I10" i="6"/>
  <c r="M10" i="6"/>
  <c r="O10" i="6"/>
  <c r="F10" i="6"/>
  <c r="J10" i="6"/>
  <c r="N10" i="6"/>
  <c r="K10" i="6"/>
  <c r="AX15" i="5"/>
  <c r="AX11" i="5"/>
  <c r="AX12" i="5"/>
  <c r="BA16" i="5" l="1"/>
  <c r="BA18" i="5" s="1"/>
  <c r="U66" i="4"/>
  <c r="BA20" i="5" l="1"/>
  <c r="W77" i="4"/>
  <c r="BA19" i="5"/>
  <c r="AG18" i="1"/>
  <c r="AH18" i="1"/>
  <c r="AZ20" i="1"/>
  <c r="AW19" i="1"/>
  <c r="AW18" i="1"/>
  <c r="AI18" i="1" l="1"/>
  <c r="BA21" i="5"/>
  <c r="AY24" i="1"/>
  <c r="AY25" i="1" s="1"/>
  <c r="AT6" i="1"/>
  <c r="AF18" i="1"/>
  <c r="AI15" i="1"/>
  <c r="N14" i="6" s="1"/>
  <c r="AI14" i="1"/>
  <c r="M14" i="6" s="1"/>
  <c r="AI13" i="1"/>
  <c r="L14" i="6" s="1"/>
  <c r="AI12" i="1"/>
  <c r="K14" i="6" s="1"/>
  <c r="AI11" i="1"/>
  <c r="J14" i="6" s="1"/>
  <c r="AI10" i="1"/>
  <c r="I14" i="6" s="1"/>
  <c r="AI9" i="1"/>
  <c r="H14" i="6" s="1"/>
  <c r="AI8" i="1"/>
  <c r="G14" i="6" s="1"/>
  <c r="AI7" i="1"/>
  <c r="F14" i="6" s="1"/>
  <c r="AI6" i="1"/>
  <c r="E14" i="6" s="1"/>
  <c r="S51" i="4"/>
  <c r="S76" i="4" s="1"/>
  <c r="U41" i="4"/>
  <c r="S40" i="4"/>
  <c r="S65" i="4" s="1"/>
  <c r="S39" i="4"/>
  <c r="S64" i="4" s="1"/>
  <c r="S38" i="4"/>
  <c r="S63" i="4" s="1"/>
  <c r="AR19" i="1" l="1"/>
  <c r="AG19" i="1" s="1"/>
  <c r="AB12" i="1"/>
  <c r="AB11" i="1"/>
  <c r="AB10" i="1"/>
  <c r="AB9" i="1"/>
  <c r="AB8" i="1"/>
  <c r="AB6" i="1"/>
  <c r="AB5" i="1"/>
  <c r="Z16" i="1"/>
  <c r="AB16" i="1"/>
  <c r="AA15" i="1"/>
  <c r="AA14" i="1"/>
  <c r="AA13" i="1"/>
  <c r="AA12" i="1"/>
  <c r="AA11" i="1"/>
  <c r="AA10" i="1"/>
  <c r="AA9" i="1"/>
  <c r="AA8" i="1"/>
  <c r="AA7" i="1"/>
  <c r="AA6" i="1"/>
  <c r="AA5" i="1"/>
  <c r="Z15" i="1"/>
  <c r="Z13" i="1"/>
  <c r="Z11" i="1"/>
  <c r="Z10" i="1"/>
  <c r="Z8" i="1"/>
  <c r="Z7" i="1"/>
  <c r="AA16" i="1"/>
  <c r="Z14" i="1"/>
  <c r="Z12" i="1"/>
  <c r="Z9" i="1"/>
  <c r="Z6" i="1"/>
  <c r="W19" i="1"/>
  <c r="AJ7" i="1"/>
  <c r="AJ11" i="1"/>
  <c r="AJ15" i="1"/>
  <c r="AL7" i="1"/>
  <c r="AL11" i="1"/>
  <c r="AL15" i="1"/>
  <c r="AK8" i="1"/>
  <c r="AK12" i="1"/>
  <c r="AK16" i="1"/>
  <c r="AK13" i="1"/>
  <c r="AJ14" i="1"/>
  <c r="AL14" i="1"/>
  <c r="AK15" i="1"/>
  <c r="AJ8" i="1"/>
  <c r="AJ12" i="1"/>
  <c r="AJ16" i="1"/>
  <c r="AL8" i="1"/>
  <c r="AL12" i="1"/>
  <c r="AL16" i="1"/>
  <c r="AK9" i="1"/>
  <c r="AK6" i="1"/>
  <c r="AJ6" i="1"/>
  <c r="AL6" i="1"/>
  <c r="AK7" i="1"/>
  <c r="AJ9" i="1"/>
  <c r="AJ13" i="1"/>
  <c r="AJ5" i="1"/>
  <c r="AL9" i="1"/>
  <c r="AL13" i="1"/>
  <c r="AL5" i="1"/>
  <c r="AK10" i="1"/>
  <c r="AK14" i="1"/>
  <c r="AK5" i="1"/>
  <c r="AJ10" i="1"/>
  <c r="AL10" i="1"/>
  <c r="AK11" i="1"/>
  <c r="W52" i="4"/>
  <c r="AG20" i="1"/>
  <c r="AI20" i="1"/>
  <c r="AI16" i="1"/>
  <c r="O14" i="6" s="1"/>
  <c r="O5" i="1" l="1"/>
  <c r="Z5" i="1"/>
  <c r="AB13" i="1"/>
  <c r="AB14" i="1"/>
  <c r="AB7" i="1"/>
  <c r="AB15" i="1"/>
  <c r="W20" i="1"/>
  <c r="X20" i="1" s="1"/>
  <c r="AB20" i="1" s="1"/>
  <c r="Q68" i="4" s="1"/>
  <c r="L20" i="1"/>
  <c r="M20" i="1" s="1"/>
  <c r="Q14" i="1"/>
  <c r="O12" i="1"/>
  <c r="P9" i="1"/>
  <c r="Q6" i="1"/>
  <c r="Q12" i="1"/>
  <c r="O15" i="1"/>
  <c r="O7" i="1"/>
  <c r="P14" i="1"/>
  <c r="Q11" i="1"/>
  <c r="O9" i="1"/>
  <c r="P6" i="1"/>
  <c r="O16" i="1"/>
  <c r="Q10" i="1"/>
  <c r="O13" i="1"/>
  <c r="P10" i="1"/>
  <c r="O10" i="1"/>
  <c r="P12" i="1"/>
  <c r="Q9" i="1"/>
  <c r="Q16" i="1"/>
  <c r="O14" i="1"/>
  <c r="P11" i="1"/>
  <c r="Q8" i="1"/>
  <c r="O6" i="1"/>
  <c r="O8" i="1"/>
  <c r="Q15" i="1"/>
  <c r="Q7" i="1"/>
  <c r="P16" i="1"/>
  <c r="Q13" i="1"/>
  <c r="O11" i="1"/>
  <c r="P8" i="1"/>
  <c r="Q5" i="1"/>
  <c r="P13" i="1"/>
  <c r="P5" i="1"/>
  <c r="P15" i="1"/>
  <c r="P7" i="1"/>
  <c r="O20" i="6"/>
  <c r="O8" i="6"/>
  <c r="O12" i="6" s="1"/>
  <c r="O16" i="6" s="1"/>
  <c r="AH20" i="1"/>
  <c r="D8" i="6"/>
  <c r="D12" i="6" s="1"/>
  <c r="D16" i="6" s="1"/>
  <c r="D20" i="6"/>
  <c r="K20" i="6"/>
  <c r="K8" i="6"/>
  <c r="K12" i="6" s="1"/>
  <c r="K16" i="6" s="1"/>
  <c r="M20" i="6"/>
  <c r="M8" i="6"/>
  <c r="M12" i="6" s="1"/>
  <c r="M16" i="6" s="1"/>
  <c r="N20" i="6"/>
  <c r="N8" i="6"/>
  <c r="N12" i="6" s="1"/>
  <c r="N16" i="6" s="1"/>
  <c r="I20" i="6"/>
  <c r="I8" i="6"/>
  <c r="I12" i="6" s="1"/>
  <c r="I16" i="6" s="1"/>
  <c r="L20" i="6"/>
  <c r="L8" i="6"/>
  <c r="L12" i="6" s="1"/>
  <c r="L16" i="6" s="1"/>
  <c r="E20" i="6"/>
  <c r="E8" i="6"/>
  <c r="E12" i="6" s="1"/>
  <c r="E16" i="6" s="1"/>
  <c r="G20" i="6"/>
  <c r="G8" i="6"/>
  <c r="G12" i="6" s="1"/>
  <c r="G16" i="6" s="1"/>
  <c r="J20" i="6"/>
  <c r="J8" i="6"/>
  <c r="J12" i="6" s="1"/>
  <c r="J16" i="6" s="1"/>
  <c r="H20" i="6"/>
  <c r="H8" i="6"/>
  <c r="H12" i="6" s="1"/>
  <c r="H16" i="6" s="1"/>
  <c r="F20" i="6"/>
  <c r="F8" i="6"/>
  <c r="F12" i="6" s="1"/>
  <c r="F16" i="6" s="1"/>
  <c r="Z20" i="1" l="1"/>
  <c r="Q15" i="4" s="1"/>
  <c r="AA20" i="1"/>
  <c r="Q43" i="4" s="1"/>
  <c r="Q51" i="4" s="1"/>
  <c r="R53" i="4" s="1"/>
  <c r="J40" i="4" s="1"/>
  <c r="P20" i="1"/>
  <c r="Q20" i="1"/>
  <c r="K76" i="4" s="1"/>
  <c r="L78" i="4" s="1"/>
  <c r="O20" i="1"/>
  <c r="AJ20" i="1"/>
  <c r="W23" i="4" s="1"/>
  <c r="W15" i="4"/>
  <c r="Q76" i="4"/>
  <c r="R78" i="4" s="1"/>
  <c r="J65" i="4" s="1"/>
  <c r="AK20" i="1"/>
  <c r="W43" i="4" s="1"/>
  <c r="W51" i="4" s="1"/>
  <c r="X53" i="4" s="1"/>
  <c r="P40" i="4" s="1"/>
  <c r="Q40" i="4" s="1"/>
  <c r="Q41" i="4" s="1"/>
  <c r="Q45" i="4" s="1"/>
  <c r="R49" i="4" s="1"/>
  <c r="AL20" i="1"/>
  <c r="W68" i="4" s="1"/>
  <c r="W76" i="4" s="1"/>
  <c r="X78" i="4" s="1"/>
  <c r="P65" i="4" s="1"/>
  <c r="Q65" i="4" s="1"/>
  <c r="Q66" i="4" s="1"/>
  <c r="Q70" i="4" s="1"/>
  <c r="R74" i="4" s="1"/>
  <c r="AT13" i="1"/>
  <c r="D65" i="4" l="1"/>
  <c r="E65" i="4" s="1"/>
  <c r="K40" i="4"/>
  <c r="D39" i="4"/>
  <c r="K65" i="4"/>
  <c r="D64" i="4"/>
  <c r="AB22" i="1"/>
  <c r="K51" i="4"/>
  <c r="L53" i="4" s="1"/>
  <c r="D40" i="4" s="1"/>
  <c r="E40" i="4" s="1"/>
  <c r="E68" i="4"/>
  <c r="E76" i="4" s="1"/>
  <c r="F78" i="4" s="1"/>
  <c r="K15" i="4"/>
  <c r="K23" i="4" s="1"/>
  <c r="L25" i="4" s="1"/>
  <c r="D12" i="4" s="1"/>
  <c r="E12" i="4" s="1"/>
  <c r="Q22" i="1"/>
  <c r="R80" i="4"/>
  <c r="R55" i="4"/>
  <c r="J39" i="4" s="1"/>
  <c r="Q23" i="4"/>
  <c r="AL22" i="1"/>
  <c r="AS5" i="1"/>
  <c r="J64" i="4" l="1"/>
  <c r="K64" i="4" s="1"/>
  <c r="K66" i="4" s="1"/>
  <c r="K70" i="4" s="1"/>
  <c r="L74" i="4" s="1"/>
  <c r="L80" i="4" s="1"/>
  <c r="K39" i="4"/>
  <c r="K41" i="4" s="1"/>
  <c r="K45" i="4" s="1"/>
  <c r="L49" i="4" s="1"/>
  <c r="L55" i="4" s="1"/>
  <c r="AT7" i="1"/>
  <c r="AT8" i="1"/>
  <c r="AT9" i="1"/>
  <c r="AT10" i="1"/>
  <c r="AT11" i="1"/>
  <c r="AT12" i="1"/>
  <c r="AT14" i="1"/>
  <c r="AT15" i="1"/>
  <c r="AS16" i="1" s="1"/>
  <c r="AT16" i="1" s="1"/>
  <c r="AY6" i="1"/>
  <c r="AY7" i="1"/>
  <c r="AY8" i="1"/>
  <c r="AY9" i="1"/>
  <c r="AY10" i="1"/>
  <c r="AY12" i="1"/>
  <c r="AY13" i="1"/>
  <c r="AY14" i="1"/>
  <c r="AY15" i="1"/>
  <c r="AY16" i="1"/>
  <c r="AY17" i="1"/>
  <c r="AY5" i="1"/>
  <c r="E64" i="4" l="1"/>
  <c r="E66" i="4" s="1"/>
  <c r="E70" i="4" s="1"/>
  <c r="F74" i="4" s="1"/>
  <c r="F80" i="4" s="1"/>
  <c r="E39" i="4"/>
  <c r="E41" i="4" s="1"/>
  <c r="AA12" i="4"/>
  <c r="U12" i="4" s="1"/>
  <c r="AR18" i="1"/>
  <c r="AS18" i="1"/>
  <c r="AQ18" i="1"/>
  <c r="AB11" i="4"/>
  <c r="AG12" i="4"/>
  <c r="AG13" i="4" s="1"/>
  <c r="AI19" i="4" s="1"/>
  <c r="AI24" i="4" s="1"/>
  <c r="Y1" i="4"/>
  <c r="S1" i="4" s="1"/>
  <c r="M1" i="4" s="1"/>
  <c r="G1" i="4" s="1"/>
  <c r="A1" i="4" s="1"/>
  <c r="AE51" i="4"/>
  <c r="Y51" i="4"/>
  <c r="AI51" i="4"/>
  <c r="AE40" i="4"/>
  <c r="Y40" i="4"/>
  <c r="AE39" i="4"/>
  <c r="AB39" i="4"/>
  <c r="Y39" i="4"/>
  <c r="AE38" i="4"/>
  <c r="Y38" i="4"/>
  <c r="U13" i="4" l="1"/>
  <c r="W19" i="4" s="1"/>
  <c r="W24" i="4" s="1"/>
  <c r="X25" i="4" s="1"/>
  <c r="O13" i="4"/>
  <c r="Q19" i="4" s="1"/>
  <c r="Q24" i="4" s="1"/>
  <c r="R25" i="4" s="1"/>
  <c r="AT18" i="1"/>
  <c r="AT20" i="1" s="1"/>
  <c r="AC11" i="4"/>
  <c r="AI12" i="4"/>
  <c r="AI40" i="4"/>
  <c r="AI11" i="4"/>
  <c r="AA13" i="4"/>
  <c r="AC19" i="4" s="1"/>
  <c r="AC24" i="4" s="1"/>
  <c r="AI39" i="4"/>
  <c r="AC39" i="4"/>
  <c r="AA41" i="4"/>
  <c r="AC51" i="4"/>
  <c r="AG41" i="4"/>
  <c r="AI47" i="4" s="1"/>
  <c r="AI52" i="4" s="1"/>
  <c r="AJ53" i="4" s="1"/>
  <c r="AX18" i="1"/>
  <c r="AZ18" i="1" s="1"/>
  <c r="AZ21" i="1" s="1"/>
  <c r="AZ26" i="1" s="1"/>
  <c r="AZ27" i="1" s="1"/>
  <c r="AZ29" i="1" s="1"/>
  <c r="AX19" i="1"/>
  <c r="J12" i="4" l="1"/>
  <c r="D11" i="4" s="1"/>
  <c r="E11" i="4" s="1"/>
  <c r="E13" i="4" s="1"/>
  <c r="P12" i="4"/>
  <c r="J11" i="4" s="1"/>
  <c r="AI13" i="4"/>
  <c r="AI17" i="4" s="1"/>
  <c r="AJ21" i="4" s="1"/>
  <c r="AR20" i="1"/>
  <c r="AI41" i="4"/>
  <c r="AI45" i="4" s="1"/>
  <c r="AJ49" i="4" s="1"/>
  <c r="AJ55" i="4" s="1"/>
  <c r="AJ58" i="4" s="1"/>
  <c r="AB40" i="4"/>
  <c r="AC52" i="4"/>
  <c r="AD53" i="4" s="1"/>
  <c r="AC47" i="4"/>
  <c r="K12" i="4" l="1"/>
  <c r="Q12" i="4"/>
  <c r="K11" i="4"/>
  <c r="AS20" i="1"/>
  <c r="AC15" i="4" s="1"/>
  <c r="AI23" i="4"/>
  <c r="AJ25" i="4" s="1"/>
  <c r="AC40" i="4"/>
  <c r="AC41" i="4" s="1"/>
  <c r="AC45" i="4" s="1"/>
  <c r="AD49" i="4" s="1"/>
  <c r="AD55" i="4" s="1"/>
  <c r="AD58" i="4" s="1"/>
  <c r="K13" i="4" l="1"/>
  <c r="K17" i="4" s="1"/>
  <c r="L21" i="4" s="1"/>
  <c r="L28" i="4" s="1"/>
  <c r="AC23" i="4"/>
  <c r="AD25" i="4" s="1"/>
  <c r="V12" i="4" s="1"/>
  <c r="V11" i="4"/>
  <c r="AJ28" i="4"/>
  <c r="AJ31" i="4" s="1"/>
  <c r="AB12" i="4"/>
  <c r="P11" i="4" l="1"/>
  <c r="Q11" i="4" s="1"/>
  <c r="Q13" i="4" s="1"/>
  <c r="Q17" i="4" s="1"/>
  <c r="R21" i="4" s="1"/>
  <c r="R28" i="4" s="1"/>
  <c r="W12" i="4"/>
  <c r="G17" i="6"/>
  <c r="G19" i="6" s="1"/>
  <c r="G21" i="6" s="1"/>
  <c r="W40" i="4"/>
  <c r="V65" i="4"/>
  <c r="W65" i="4" s="1"/>
  <c r="D17" i="6"/>
  <c r="AC12" i="4"/>
  <c r="AC13" i="4" s="1"/>
  <c r="AC17" i="4" s="1"/>
  <c r="AD21" i="4" s="1"/>
  <c r="AD28" i="4" s="1"/>
  <c r="AD31" i="4" s="1"/>
  <c r="W11" i="4"/>
  <c r="W13" i="4" s="1"/>
  <c r="W17" i="4" s="1"/>
  <c r="L17" i="6" l="1"/>
  <c r="M17" i="6" s="1"/>
  <c r="X21" i="4"/>
  <c r="X28" i="4" s="1"/>
  <c r="V64" i="4"/>
  <c r="W64" i="4" s="1"/>
  <c r="W66" i="4" s="1"/>
  <c r="X80" i="4" s="1"/>
  <c r="W39" i="4"/>
  <c r="W41" i="4" s="1"/>
  <c r="D19" i="6"/>
  <c r="D21" i="6" s="1"/>
  <c r="F17" i="6"/>
  <c r="E17" i="6"/>
  <c r="E19" i="6" s="1"/>
  <c r="E21" i="6" s="1"/>
  <c r="L19" i="6" l="1"/>
  <c r="L21" i="6" s="1"/>
  <c r="X55" i="4"/>
  <c r="H17" i="6"/>
  <c r="F19" i="6"/>
  <c r="F21" i="6" s="1"/>
  <c r="M19" i="6"/>
  <c r="M21" i="6" s="1"/>
  <c r="N17" i="6"/>
  <c r="O17" i="6" l="1"/>
  <c r="O19" i="6" s="1"/>
  <c r="O21" i="6" s="1"/>
  <c r="N19" i="6"/>
  <c r="N21" i="6" s="1"/>
  <c r="H19" i="6"/>
  <c r="H21" i="6" s="1"/>
  <c r="I17" i="6"/>
  <c r="I19" i="6" l="1"/>
  <c r="I21" i="6" s="1"/>
  <c r="J17" i="6"/>
  <c r="K17" i="6" l="1"/>
  <c r="J19" i="6"/>
  <c r="J21" i="6" s="1"/>
  <c r="K19" i="6" l="1"/>
  <c r="K21" i="6" s="1"/>
  <c r="C20" i="1" l="1"/>
  <c r="C21" i="1" s="1"/>
  <c r="E5" i="1"/>
  <c r="E7" i="1"/>
  <c r="E6" i="1"/>
  <c r="E20" i="1" l="1"/>
  <c r="D20" i="1" s="1"/>
  <c r="G20" i="1" l="1"/>
  <c r="E43" i="4" s="1"/>
  <c r="F20" i="1"/>
  <c r="H20" i="1"/>
  <c r="E15" i="4" l="1"/>
  <c r="H22" i="1"/>
  <c r="H23" i="1" s="1"/>
  <c r="E51" i="4"/>
  <c r="F53" i="4" s="1"/>
  <c r="E45" i="4"/>
  <c r="F49" i="4" s="1"/>
  <c r="F55" i="4" l="1"/>
  <c r="E23" i="4"/>
  <c r="F25" i="4" s="1"/>
  <c r="E17" i="4"/>
  <c r="F21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tc={04156B1C-0FC8-4F65-BE48-CCD35C9AFF11}</author>
    <author>tc={9C5C5738-0672-428F-A788-C067E4A3CE46}</author>
    <author>tc={80581467-A6CA-4902-80A5-2148692B4D00}</author>
    <author>tc={80581467-A6CA-4901-80A5-2148692B4D00}</author>
    <author>tc={D5E911F6-776F-40BD-BB40-0BD818277CFD}</author>
    <author>tc={D5E911F6-776F-40BC-BB40-0BD818277CFD}</author>
  </authors>
  <commentList>
    <comment ref="W15" authorId="0" shapeId="0" xr:uid="{04156B1C-0FC8-4F65-BE48-CCD35C9AFF11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This was changed to the total regulated commodity values to reflect the fact that only residential commodity adjustment was in place at the time this was set.</t>
        </r>
      </text>
    </comment>
    <comment ref="E43" authorId="1" shapeId="0" xr:uid="{9C5C5738-0672-428F-A788-C067E4A3CE46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Pulled from current commodity value table for 96 gal</t>
        </r>
      </text>
    </comment>
    <comment ref="K43" authorId="2" shapeId="0" xr:uid="{5B041756-0219-492B-AA88-97887BE250D0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Pulled from current commodity value table for 96 gal</t>
        </r>
      </text>
    </comment>
    <comment ref="Q43" authorId="3" shapeId="0" xr:uid="{80581467-A6CA-4901-80A5-2148692B4D00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Pulled from current commodity value table for 96 gal</t>
        </r>
      </text>
    </comment>
    <comment ref="J65" authorId="4" shapeId="0" xr:uid="{5B7F2F89-919C-478C-A2F4-3A809F0FA930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Pulled from projected value from prior year</t>
        </r>
      </text>
    </comment>
    <comment ref="P65" authorId="5" shapeId="0" xr:uid="{D5E911F6-776F-40BC-BB40-0BD818277CFD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Pulled from projected value from prior year</t>
        </r>
      </text>
    </comment>
  </commentList>
</comments>
</file>

<file path=xl/sharedStrings.xml><?xml version="1.0" encoding="utf-8"?>
<sst xmlns="http://schemas.openxmlformats.org/spreadsheetml/2006/main" count="530" uniqueCount="132">
  <si>
    <t>Sound Disposal Inc.</t>
  </si>
  <si>
    <t>Based on previous UTC Staff analyses</t>
  </si>
  <si>
    <t>Do not use cumulative method</t>
  </si>
  <si>
    <t>per docket TG-</t>
  </si>
  <si>
    <t>per docket TG-180703</t>
  </si>
  <si>
    <t>2019-2020</t>
  </si>
  <si>
    <t>2018-2019</t>
  </si>
  <si>
    <t>Residential</t>
  </si>
  <si>
    <t>Commodity</t>
  </si>
  <si>
    <t>Total</t>
  </si>
  <si>
    <t>Customers</t>
  </si>
  <si>
    <t>Credit</t>
  </si>
  <si>
    <t>Credits</t>
  </si>
  <si>
    <t>Projected Revenue October 2018-September 2019</t>
  </si>
  <si>
    <t>Projected Revenue October 2017-September 2018</t>
  </si>
  <si>
    <t>Jul-Sep projected value without adjustment factor</t>
  </si>
  <si>
    <t>Aug-Sep projected value without adjustment factor</t>
  </si>
  <si>
    <t>Oct-Jun projected value without adjustment factor</t>
  </si>
  <si>
    <t>Oct-Sep projected value without adjustment factor</t>
  </si>
  <si>
    <t>Actual Commodity Revenue (adj. to reflect current customers)</t>
  </si>
  <si>
    <t>Owe Customer (company)</t>
  </si>
  <si>
    <t>Total Customers</t>
  </si>
  <si>
    <t>Commodity Adjustment</t>
  </si>
  <si>
    <t>Projected Revenue October 2019-September 2020</t>
  </si>
  <si>
    <t>Projected Value</t>
  </si>
  <si>
    <t>Residential Commodity Adjustment</t>
  </si>
  <si>
    <t>Additional credit</t>
  </si>
  <si>
    <t>Adjusted Credit</t>
  </si>
  <si>
    <t>Multi-family</t>
  </si>
  <si>
    <t>Yards</t>
  </si>
  <si>
    <t>Actual Commodity Revenue</t>
  </si>
  <si>
    <t>Multi-family Commodity Adjustment</t>
  </si>
  <si>
    <t>Sound  Disposal, Inc. Commodity Charges</t>
  </si>
  <si>
    <t>Twelve months ended 06/30/2019</t>
  </si>
  <si>
    <t>Twelve months ended 06/30/2018</t>
  </si>
  <si>
    <t>Monthly customers</t>
  </si>
  <si>
    <t>Tons</t>
  </si>
  <si>
    <t>Cost</t>
  </si>
  <si>
    <t>tons</t>
  </si>
  <si>
    <t>$</t>
  </si>
  <si>
    <t>per ton</t>
  </si>
  <si>
    <t>six month avg</t>
  </si>
  <si>
    <t>per ton 2017</t>
  </si>
  <si>
    <t>increase</t>
  </si>
  <si>
    <t>prior 12 mos tonnage</t>
  </si>
  <si>
    <t>less commercial</t>
  </si>
  <si>
    <t>resicential tons</t>
  </si>
  <si>
    <t xml:space="preserve"> Increase $</t>
  </si>
  <si>
    <t>Monthly</t>
  </si>
  <si>
    <t xml:space="preserve"> # customers</t>
  </si>
  <si>
    <t>per customer</t>
  </si>
  <si>
    <t>Twelve months ended 06/30/2020</t>
  </si>
  <si>
    <t>Type</t>
  </si>
  <si>
    <t xml:space="preserve">Monthly </t>
  </si>
  <si>
    <t xml:space="preserve">Annual </t>
  </si>
  <si>
    <t>How billed</t>
  </si>
  <si>
    <t>Pickups</t>
  </si>
  <si>
    <t>monthly</t>
  </si>
  <si>
    <t>per pick-up</t>
  </si>
  <si>
    <t>Totals</t>
  </si>
  <si>
    <t xml:space="preserve"> </t>
  </si>
  <si>
    <t>Sound Disposal</t>
  </si>
  <si>
    <t>Sound Disposal Multi-Family</t>
  </si>
  <si>
    <t>July 2019 - June 2020</t>
  </si>
  <si>
    <t>Multi family - 96gal WR</t>
  </si>
  <si>
    <t>Multi family - 96gal EOWR</t>
  </si>
  <si>
    <t>Multi family - 1.25yd WR</t>
  </si>
  <si>
    <t>Multi family 1 1.25yd EOWR</t>
  </si>
  <si>
    <t>$ / Ton</t>
  </si>
  <si>
    <t>MF 96 gal</t>
  </si>
  <si>
    <t>Meeks</t>
  </si>
  <si>
    <t>Weights</t>
  </si>
  <si>
    <t>Residential allocation of recyclable material</t>
  </si>
  <si>
    <t>MF 96 gal allocation of recyclable material</t>
  </si>
  <si>
    <t>MF 1.25 yd allocation of recyclable material</t>
  </si>
  <si>
    <t>Less commercial tons</t>
  </si>
  <si>
    <t xml:space="preserve">Total regulated </t>
  </si>
  <si>
    <t>Pickups 96gal</t>
  </si>
  <si>
    <t>Total Pickups</t>
  </si>
  <si>
    <t>Pickups 1.25 yd</t>
  </si>
  <si>
    <t>Residential and Multi-Family</t>
  </si>
  <si>
    <t>Tonnage</t>
  </si>
  <si>
    <t>Containers/Customers</t>
  </si>
  <si>
    <t>Tons/Container-Customer</t>
  </si>
  <si>
    <t>$/Ton</t>
  </si>
  <si>
    <t>$/Customer</t>
  </si>
  <si>
    <t>Baseline $/Cus</t>
  </si>
  <si>
    <t>Projected Rev</t>
  </si>
  <si>
    <t>Actual Rev</t>
  </si>
  <si>
    <t>Diff</t>
  </si>
  <si>
    <t>New Baseline</t>
  </si>
  <si>
    <t>Prior Yr Adj</t>
  </si>
  <si>
    <t>New Credit</t>
  </si>
  <si>
    <t>Current Credit</t>
  </si>
  <si>
    <t>Annual Revenue Change</t>
  </si>
  <si>
    <t xml:space="preserve">MF 1.25 yd </t>
  </si>
  <si>
    <t>Projected Revenue July 2019-June 2020</t>
  </si>
  <si>
    <t>Projected Revenue October 2020-September 2021</t>
  </si>
  <si>
    <t>2020-2021</t>
  </si>
  <si>
    <t>July 2020 - June 2021</t>
  </si>
  <si>
    <t>2021-2022</t>
  </si>
  <si>
    <t>Projected Revenue October 2021-September 2022</t>
  </si>
  <si>
    <t>Twelve months ended 06/30/2021</t>
  </si>
  <si>
    <t>Twelve months ended 06/30/2022</t>
  </si>
  <si>
    <t>July 2021 - June 2022</t>
  </si>
  <si>
    <t>Projected Revenue September 2022 -August 2023</t>
  </si>
  <si>
    <t>2022-2023</t>
  </si>
  <si>
    <t>Sound Disposal Residential &amp; Multi-Family Recycling</t>
  </si>
  <si>
    <t>Projected Revenue July 2021-June 2022</t>
  </si>
  <si>
    <t>per docket TG-220600</t>
  </si>
  <si>
    <t>July 2022 - December 2022</t>
  </si>
  <si>
    <t>Jul 22-Sep 22 projected value without adjustment factor</t>
  </si>
  <si>
    <t>Oct 22-Dec 22 projected value without adjustment factor</t>
  </si>
  <si>
    <t>Sound Disposal, Inc.</t>
  </si>
  <si>
    <t>Recylcing Customer Counts</t>
  </si>
  <si>
    <t>Recycling Customer Counts by Month - 07/01/21 -06/30/22</t>
  </si>
  <si>
    <t>AVG</t>
  </si>
  <si>
    <t>Multi Family 96 gallon WR</t>
  </si>
  <si>
    <t>Multi Family 96 gallon EOWR</t>
  </si>
  <si>
    <t>Multi Family 1-1.25yd WR</t>
  </si>
  <si>
    <t>Multi Family 1-1.25yd EOWR</t>
  </si>
  <si>
    <t>Recycling Customer Counts by Month - 07/01/22-12/31/2022</t>
  </si>
  <si>
    <t>Six months ended 12/31/2022</t>
  </si>
  <si>
    <t>Actual Commodity Revenue/(Expense)</t>
  </si>
  <si>
    <t>Actual Commodity Revenue/(Expense) (adj. to reflect current customers)</t>
  </si>
  <si>
    <t>Processing Expense</t>
  </si>
  <si>
    <t>Adjustment</t>
  </si>
  <si>
    <t>Projected Expense July 2022-December 2022</t>
  </si>
  <si>
    <t>Effective April 1, 2023 - September 30, 2023</t>
  </si>
  <si>
    <t>Projected Revenue April 2023 -September 2023</t>
  </si>
  <si>
    <t>Multi-family - Carts</t>
  </si>
  <si>
    <t>Multi-family - Containers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</si>
</sst>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\-yy;@"/>
    <numFmt numFmtId="167" formatCode="&quot;$&quot;#,##0.00"/>
    <numFmt numFmtId="168" formatCode="_(* #,##0.000_);_(* \(#,##0.000\);_(* &quot;-&quot;??_);_(@_)"/>
    <numFmt numFmtId="169" formatCode="mm/dd/yy;@"/>
    <numFmt numFmtId="170" formatCode="[$-409]mmmm\-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u/>
      <sz val="11"/>
      <color theme="1"/>
      <name val="Calibri"/>
      <family val="2"/>
      <scheme val="minor"/>
    </font>
    <font>
      <sz val="18"/>
      <name val="Calibri"/>
      <family val="2"/>
    </font>
    <font>
      <sz val="11"/>
      <color theme="1"/>
      <name val="Calibri"/>
      <family val="2"/>
    </font>
    <font>
      <sz val="14"/>
      <name val="Calibri"/>
      <family val="2"/>
    </font>
    <font>
      <sz val="12"/>
      <name val="Calibri"/>
      <family val="2"/>
    </font>
    <font>
      <sz val="10"/>
      <name val="Calibri"/>
      <family val="2"/>
    </font>
    <font>
      <sz val="11"/>
      <color rgb="FFFF0000"/>
      <name val="Calibri"/>
      <family val="2"/>
    </font>
    <font>
      <sz val="12"/>
      <color indexed="8"/>
      <name val="Calibri"/>
      <family val="2"/>
    </font>
    <font>
      <sz val="11"/>
      <color theme="4" tint="-0.249977111117893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b/>
      <sz val="11"/>
      <color indexed="10"/>
      <name val="Calibri"/>
      <family val="2"/>
    </font>
    <font>
      <b/>
      <sz val="16"/>
      <name val="Calibri"/>
      <family val="2"/>
    </font>
    <font>
      <i/>
      <u/>
      <sz val="12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color theme="1"/>
      <name val="Calibri"/>
      <family val="2"/>
    </font>
    <font>
      <b/>
      <sz val="12"/>
      <color indexed="12"/>
      <name val="Calibri"/>
      <family val="2"/>
    </font>
    <font>
      <u val="singleAccounting"/>
      <sz val="12"/>
      <name val="Calibri"/>
      <family val="2"/>
    </font>
    <font>
      <b/>
      <sz val="14"/>
      <color theme="1"/>
      <name val="Calibri"/>
      <family val="2"/>
      <scheme val="minor"/>
    </font>
    <font>
      <b/>
      <i/>
      <u/>
      <sz val="12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>
      <protection locked="0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3">
    <xf numFmtId="0" fontId="0" fillId="0" borderId="0" xfId="0"/>
    <xf numFmtId="16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44" fontId="1" fillId="0" borderId="0" xfId="2" applyFont="1"/>
    <xf numFmtId="43" fontId="1" fillId="0" borderId="1" xfId="1" applyFont="1" applyBorder="1"/>
    <xf numFmtId="43" fontId="0" fillId="0" borderId="0" xfId="0" applyNumberFormat="1"/>
    <xf numFmtId="164" fontId="0" fillId="0" borderId="2" xfId="0" applyNumberFormat="1" applyBorder="1"/>
    <xf numFmtId="0" fontId="0" fillId="3" borderId="0" xfId="0" applyFill="1"/>
    <xf numFmtId="166" fontId="0" fillId="0" borderId="0" xfId="0" applyNumberFormat="1"/>
    <xf numFmtId="165" fontId="0" fillId="0" borderId="0" xfId="2" applyNumberFormat="1" applyFont="1" applyFill="1"/>
    <xf numFmtId="0" fontId="2" fillId="0" borderId="0" xfId="0" applyFont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44" fontId="0" fillId="0" borderId="0" xfId="0" applyNumberFormat="1"/>
    <xf numFmtId="44" fontId="0" fillId="0" borderId="0" xfId="2" applyFont="1" applyFill="1"/>
    <xf numFmtId="44" fontId="0" fillId="0" borderId="0" xfId="2" applyFont="1"/>
    <xf numFmtId="0" fontId="0" fillId="4" borderId="0" xfId="0" applyFill="1"/>
    <xf numFmtId="44" fontId="0" fillId="4" borderId="0" xfId="2" applyFont="1" applyFill="1"/>
    <xf numFmtId="44" fontId="0" fillId="3" borderId="0" xfId="0" applyNumberFormat="1" applyFill="1"/>
    <xf numFmtId="0" fontId="0" fillId="3" borderId="1" xfId="0" applyFill="1" applyBorder="1"/>
    <xf numFmtId="0" fontId="0" fillId="5" borderId="0" xfId="0" applyFill="1"/>
    <xf numFmtId="44" fontId="0" fillId="5" borderId="0" xfId="2" applyFont="1" applyFill="1"/>
    <xf numFmtId="43" fontId="1" fillId="0" borderId="3" xfId="1" applyFont="1" applyBorder="1"/>
    <xf numFmtId="3" fontId="5" fillId="0" borderId="0" xfId="0" applyNumberFormat="1" applyFont="1"/>
    <xf numFmtId="43" fontId="0" fillId="0" borderId="0" xfId="1" applyFont="1" applyFill="1"/>
    <xf numFmtId="0" fontId="0" fillId="0" borderId="1" xfId="0" applyBorder="1" applyAlignment="1">
      <alignment wrapText="1"/>
    </xf>
    <xf numFmtId="0" fontId="2" fillId="0" borderId="0" xfId="0" applyFont="1" applyAlignment="1">
      <alignment horizontal="center"/>
    </xf>
    <xf numFmtId="169" fontId="6" fillId="0" borderId="0" xfId="7" applyNumberFormat="1" applyFont="1" applyAlignment="1">
      <alignment horizontal="center"/>
    </xf>
    <xf numFmtId="166" fontId="6" fillId="0" borderId="0" xfId="7" applyNumberFormat="1" applyFont="1" applyAlignment="1">
      <alignment horizontal="center"/>
    </xf>
    <xf numFmtId="0" fontId="2" fillId="0" borderId="0" xfId="7" applyFont="1" applyAlignment="1">
      <alignment horizontal="center"/>
    </xf>
    <xf numFmtId="0" fontId="2" fillId="0" borderId="0" xfId="8" applyFont="1"/>
    <xf numFmtId="0" fontId="1" fillId="0" borderId="0" xfId="7"/>
    <xf numFmtId="0" fontId="1" fillId="0" borderId="0" xfId="8"/>
    <xf numFmtId="0" fontId="2" fillId="0" borderId="0" xfId="7" applyFont="1"/>
    <xf numFmtId="43" fontId="0" fillId="0" borderId="0" xfId="9" applyFont="1"/>
    <xf numFmtId="43" fontId="0" fillId="0" borderId="0" xfId="9" applyFont="1" applyFill="1"/>
    <xf numFmtId="3" fontId="1" fillId="0" borderId="0" xfId="7" applyNumberFormat="1"/>
    <xf numFmtId="3" fontId="1" fillId="0" borderId="0" xfId="8" applyNumberFormat="1"/>
    <xf numFmtId="3" fontId="2" fillId="0" borderId="0" xfId="7" applyNumberFormat="1" applyFont="1"/>
    <xf numFmtId="168" fontId="0" fillId="0" borderId="0" xfId="9" applyNumberFormat="1" applyFont="1"/>
    <xf numFmtId="168" fontId="0" fillId="0" borderId="0" xfId="9" applyNumberFormat="1" applyFont="1" applyFill="1"/>
    <xf numFmtId="168" fontId="1" fillId="0" borderId="0" xfId="7" applyNumberFormat="1"/>
    <xf numFmtId="164" fontId="0" fillId="0" borderId="0" xfId="9" applyNumberFormat="1" applyFont="1"/>
    <xf numFmtId="164" fontId="0" fillId="0" borderId="0" xfId="9" applyNumberFormat="1" applyFont="1" applyFill="1"/>
    <xf numFmtId="164" fontId="1" fillId="0" borderId="0" xfId="7" applyNumberFormat="1"/>
    <xf numFmtId="164" fontId="1" fillId="0" borderId="0" xfId="8" applyNumberFormat="1"/>
    <xf numFmtId="164" fontId="0" fillId="0" borderId="0" xfId="0" applyNumberFormat="1"/>
    <xf numFmtId="0" fontId="0" fillId="0" borderId="0" xfId="8" applyFont="1"/>
    <xf numFmtId="43" fontId="1" fillId="0" borderId="0" xfId="7" applyNumberFormat="1"/>
    <xf numFmtId="0" fontId="0" fillId="0" borderId="0" xfId="7" applyFont="1"/>
    <xf numFmtId="164" fontId="1" fillId="0" borderId="0" xfId="10" applyNumberFormat="1" applyFont="1" applyFill="1"/>
    <xf numFmtId="2" fontId="4" fillId="0" borderId="0" xfId="1" applyNumberFormat="1" applyFont="1" applyAlignment="1">
      <alignment horizontal="right"/>
    </xf>
    <xf numFmtId="164" fontId="1" fillId="0" borderId="0" xfId="10" applyNumberFormat="1" applyFont="1"/>
    <xf numFmtId="0" fontId="0" fillId="6" borderId="0" xfId="0" applyFill="1"/>
    <xf numFmtId="44" fontId="0" fillId="6" borderId="0" xfId="2" applyFont="1" applyFill="1"/>
    <xf numFmtId="44" fontId="0" fillId="6" borderId="0" xfId="0" applyNumberFormat="1" applyFill="1"/>
    <xf numFmtId="43" fontId="0" fillId="0" borderId="0" xfId="1" applyFont="1"/>
    <xf numFmtId="0" fontId="8" fillId="0" borderId="0" xfId="0" applyFont="1"/>
    <xf numFmtId="0" fontId="8" fillId="0" borderId="0" xfId="0" applyFont="1" applyAlignment="1">
      <alignment horizontal="center"/>
    </xf>
    <xf numFmtId="164" fontId="11" fillId="0" borderId="0" xfId="1" applyNumberFormat="1" applyFont="1" applyAlignment="1">
      <alignment horizontal="center"/>
    </xf>
    <xf numFmtId="0" fontId="12" fillId="0" borderId="0" xfId="0" applyFont="1"/>
    <xf numFmtId="164" fontId="11" fillId="0" borderId="0" xfId="1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43" fontId="10" fillId="0" borderId="0" xfId="1" applyFont="1" applyAlignment="1">
      <alignment horizontal="center"/>
    </xf>
    <xf numFmtId="0" fontId="13" fillId="0" borderId="2" xfId="0" applyFont="1" applyBorder="1" applyAlignment="1">
      <alignment horizontal="center"/>
    </xf>
    <xf numFmtId="43" fontId="10" fillId="0" borderId="2" xfId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0" xfId="0" quotePrefix="1" applyFont="1" applyAlignment="1">
      <alignment horizontal="left"/>
    </xf>
    <xf numFmtId="3" fontId="13" fillId="6" borderId="0" xfId="0" applyNumberFormat="1" applyFont="1" applyFill="1"/>
    <xf numFmtId="4" fontId="10" fillId="6" borderId="0" xfId="1" applyNumberFormat="1" applyFont="1" applyFill="1" applyAlignment="1">
      <alignment horizontal="right"/>
    </xf>
    <xf numFmtId="167" fontId="13" fillId="0" borderId="0" xfId="2" applyNumberFormat="1" applyFont="1" applyFill="1" applyAlignment="1">
      <alignment horizontal="right"/>
    </xf>
    <xf numFmtId="43" fontId="8" fillId="0" borderId="0" xfId="1" applyFont="1"/>
    <xf numFmtId="0" fontId="13" fillId="0" borderId="0" xfId="0" quotePrefix="1" applyFont="1" applyAlignment="1">
      <alignment horizontal="center"/>
    </xf>
    <xf numFmtId="3" fontId="10" fillId="6" borderId="0" xfId="1" applyNumberFormat="1" applyFont="1" applyFill="1" applyAlignment="1">
      <alignment horizontal="right"/>
    </xf>
    <xf numFmtId="167" fontId="10" fillId="0" borderId="0" xfId="2" applyNumberFormat="1" applyFont="1" applyFill="1" applyAlignment="1">
      <alignment horizontal="right"/>
    </xf>
    <xf numFmtId="3" fontId="13" fillId="8" borderId="0" xfId="0" applyNumberFormat="1" applyFont="1" applyFill="1"/>
    <xf numFmtId="4" fontId="10" fillId="0" borderId="0" xfId="1" applyNumberFormat="1" applyFont="1" applyFill="1" applyAlignment="1">
      <alignment horizontal="right"/>
    </xf>
    <xf numFmtId="0" fontId="13" fillId="0" borderId="0" xfId="0" applyFont="1" applyAlignment="1">
      <alignment horizontal="left"/>
    </xf>
    <xf numFmtId="3" fontId="13" fillId="6" borderId="1" xfId="0" applyNumberFormat="1" applyFont="1" applyFill="1" applyBorder="1"/>
    <xf numFmtId="167" fontId="10" fillId="0" borderId="1" xfId="2" applyNumberFormat="1" applyFont="1" applyFill="1" applyBorder="1" applyAlignment="1">
      <alignment horizontal="right"/>
    </xf>
    <xf numFmtId="43" fontId="8" fillId="0" borderId="1" xfId="1" applyFont="1" applyBorder="1"/>
    <xf numFmtId="0" fontId="8" fillId="0" borderId="0" xfId="0" applyFont="1" applyAlignment="1">
      <alignment horizontal="left"/>
    </xf>
    <xf numFmtId="3" fontId="13" fillId="0" borderId="0" xfId="0" applyNumberFormat="1" applyFont="1"/>
    <xf numFmtId="3" fontId="10" fillId="0" borderId="0" xfId="0" applyNumberFormat="1" applyFont="1" applyAlignment="1">
      <alignment horizontal="right"/>
    </xf>
    <xf numFmtId="0" fontId="10" fillId="0" borderId="0" xfId="0" applyFont="1"/>
    <xf numFmtId="164" fontId="10" fillId="0" borderId="0" xfId="1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9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8" fillId="6" borderId="0" xfId="0" applyFont="1" applyFill="1"/>
    <xf numFmtId="0" fontId="14" fillId="0" borderId="0" xfId="0" applyFont="1"/>
    <xf numFmtId="165" fontId="14" fillId="0" borderId="0" xfId="2" applyNumberFormat="1" applyFont="1" applyFill="1" applyBorder="1"/>
    <xf numFmtId="0" fontId="15" fillId="0" borderId="0" xfId="0" applyFont="1" applyAlignment="1">
      <alignment horizontal="left"/>
    </xf>
    <xf numFmtId="3" fontId="14" fillId="0" borderId="0" xfId="0" applyNumberFormat="1" applyFont="1"/>
    <xf numFmtId="165" fontId="14" fillId="0" borderId="0" xfId="0" applyNumberFormat="1" applyFont="1"/>
    <xf numFmtId="43" fontId="10" fillId="6" borderId="0" xfId="1" applyFont="1" applyFill="1" applyAlignment="1">
      <alignment horizontal="right"/>
    </xf>
    <xf numFmtId="43" fontId="10" fillId="0" borderId="0" xfId="1" applyFont="1" applyFill="1" applyAlignment="1">
      <alignment horizontal="right"/>
    </xf>
    <xf numFmtId="43" fontId="10" fillId="0" borderId="0" xfId="1" applyFont="1" applyAlignment="1">
      <alignment horizontal="right"/>
    </xf>
    <xf numFmtId="164" fontId="13" fillId="6" borderId="0" xfId="1" applyNumberFormat="1" applyFont="1" applyFill="1"/>
    <xf numFmtId="164" fontId="13" fillId="8" borderId="0" xfId="1" applyNumberFormat="1" applyFont="1" applyFill="1"/>
    <xf numFmtId="164" fontId="13" fillId="6" borderId="1" xfId="1" applyNumberFormat="1" applyFont="1" applyFill="1" applyBorder="1"/>
    <xf numFmtId="164" fontId="13" fillId="0" borderId="0" xfId="1" applyNumberFormat="1" applyFont="1"/>
    <xf numFmtId="10" fontId="8" fillId="6" borderId="0" xfId="11" applyNumberFormat="1" applyFont="1" applyFill="1"/>
    <xf numFmtId="0" fontId="13" fillId="0" borderId="12" xfId="0" applyFont="1" applyBorder="1" applyAlignment="1">
      <alignment horizontal="center"/>
    </xf>
    <xf numFmtId="43" fontId="10" fillId="0" borderId="12" xfId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43" fontId="0" fillId="6" borderId="0" xfId="1" applyFont="1" applyFill="1"/>
    <xf numFmtId="43" fontId="0" fillId="3" borderId="0" xfId="1" applyFont="1" applyFill="1"/>
    <xf numFmtId="0" fontId="0" fillId="0" borderId="0" xfId="0" applyAlignment="1">
      <alignment wrapText="1"/>
    </xf>
    <xf numFmtId="0" fontId="0" fillId="10" borderId="0" xfId="0" applyFill="1"/>
    <xf numFmtId="0" fontId="0" fillId="10" borderId="0" xfId="0" applyFill="1" applyAlignment="1">
      <alignment wrapText="1"/>
    </xf>
    <xf numFmtId="43" fontId="0" fillId="10" borderId="0" xfId="1" applyFont="1" applyFill="1"/>
    <xf numFmtId="0" fontId="10" fillId="2" borderId="4" xfId="3" applyFont="1" applyFill="1" applyBorder="1"/>
    <xf numFmtId="0" fontId="10" fillId="2" borderId="5" xfId="3" applyFont="1" applyFill="1" applyBorder="1"/>
    <xf numFmtId="0" fontId="11" fillId="2" borderId="5" xfId="3" applyFont="1" applyFill="1" applyBorder="1"/>
    <xf numFmtId="0" fontId="11" fillId="2" borderId="6" xfId="3" applyFont="1" applyFill="1" applyBorder="1"/>
    <xf numFmtId="0" fontId="11" fillId="0" borderId="0" xfId="3" applyFont="1"/>
    <xf numFmtId="0" fontId="16" fillId="2" borderId="7" xfId="3" applyFont="1" applyFill="1" applyBorder="1"/>
    <xf numFmtId="0" fontId="16" fillId="2" borderId="0" xfId="3" applyFont="1" applyFill="1"/>
    <xf numFmtId="0" fontId="17" fillId="2" borderId="0" xfId="3" applyFont="1" applyFill="1"/>
    <xf numFmtId="0" fontId="11" fillId="2" borderId="0" xfId="3" applyFont="1" applyFill="1"/>
    <xf numFmtId="0" fontId="11" fillId="2" borderId="8" xfId="3" applyFont="1" applyFill="1" applyBorder="1"/>
    <xf numFmtId="15" fontId="16" fillId="2" borderId="7" xfId="3" applyNumberFormat="1" applyFont="1" applyFill="1" applyBorder="1"/>
    <xf numFmtId="15" fontId="16" fillId="2" borderId="0" xfId="3" applyNumberFormat="1" applyFont="1" applyFill="1"/>
    <xf numFmtId="0" fontId="11" fillId="2" borderId="7" xfId="3" applyFont="1" applyFill="1" applyBorder="1"/>
    <xf numFmtId="0" fontId="10" fillId="0" borderId="0" xfId="3" applyFont="1"/>
    <xf numFmtId="0" fontId="10" fillId="2" borderId="7" xfId="3" applyFont="1" applyFill="1" applyBorder="1"/>
    <xf numFmtId="0" fontId="10" fillId="2" borderId="0" xfId="3" applyFont="1" applyFill="1"/>
    <xf numFmtId="0" fontId="10" fillId="2" borderId="8" xfId="3" applyFont="1" applyFill="1" applyBorder="1"/>
    <xf numFmtId="0" fontId="20" fillId="2" borderId="0" xfId="3" applyFont="1" applyFill="1" applyAlignment="1">
      <alignment horizontal="center"/>
    </xf>
    <xf numFmtId="0" fontId="21" fillId="2" borderId="0" xfId="3" applyFont="1" applyFill="1" applyAlignment="1">
      <alignment horizontal="center"/>
    </xf>
    <xf numFmtId="0" fontId="20" fillId="2" borderId="9" xfId="3" applyFont="1" applyFill="1" applyBorder="1"/>
    <xf numFmtId="0" fontId="20" fillId="2" borderId="1" xfId="3" applyFont="1" applyFill="1" applyBorder="1"/>
    <xf numFmtId="0" fontId="10" fillId="2" borderId="0" xfId="3" applyFont="1" applyFill="1" applyAlignment="1">
      <alignment horizontal="center"/>
    </xf>
    <xf numFmtId="0" fontId="22" fillId="2" borderId="7" xfId="3" applyFont="1" applyFill="1" applyBorder="1"/>
    <xf numFmtId="41" fontId="10" fillId="8" borderId="0" xfId="3" applyNumberFormat="1" applyFont="1" applyFill="1"/>
    <xf numFmtId="44" fontId="23" fillId="2" borderId="0" xfId="4" applyFont="1" applyFill="1" applyBorder="1"/>
    <xf numFmtId="41" fontId="10" fillId="6" borderId="0" xfId="3" applyNumberFormat="1" applyFont="1" applyFill="1"/>
    <xf numFmtId="41" fontId="10" fillId="2" borderId="0" xfId="3" applyNumberFormat="1" applyFont="1" applyFill="1"/>
    <xf numFmtId="41" fontId="24" fillId="8" borderId="0" xfId="3" applyNumberFormat="1" applyFont="1" applyFill="1"/>
    <xf numFmtId="41" fontId="24" fillId="6" borderId="0" xfId="3" applyNumberFormat="1" applyFont="1" applyFill="1"/>
    <xf numFmtId="41" fontId="24" fillId="2" borderId="0" xfId="3" applyNumberFormat="1" applyFont="1" applyFill="1"/>
    <xf numFmtId="0" fontId="20" fillId="2" borderId="7" xfId="3" applyFont="1" applyFill="1" applyBorder="1"/>
    <xf numFmtId="41" fontId="10" fillId="7" borderId="0" xfId="3" applyNumberFormat="1" applyFont="1" applyFill="1"/>
    <xf numFmtId="44" fontId="10" fillId="6" borderId="8" xfId="4" applyFont="1" applyFill="1" applyBorder="1"/>
    <xf numFmtId="44" fontId="10" fillId="2" borderId="8" xfId="4" applyFont="1" applyFill="1" applyBorder="1"/>
    <xf numFmtId="165" fontId="10" fillId="6" borderId="0" xfId="4" applyNumberFormat="1" applyFont="1" applyFill="1" applyBorder="1"/>
    <xf numFmtId="165" fontId="10" fillId="7" borderId="0" xfId="4" applyNumberFormat="1" applyFont="1" applyFill="1" applyBorder="1"/>
    <xf numFmtId="0" fontId="20" fillId="2" borderId="0" xfId="3" applyFont="1" applyFill="1"/>
    <xf numFmtId="165" fontId="10" fillId="3" borderId="0" xfId="4" applyNumberFormat="1" applyFont="1" applyFill="1" applyBorder="1"/>
    <xf numFmtId="164" fontId="10" fillId="2" borderId="0" xfId="5" applyNumberFormat="1" applyFont="1" applyFill="1" applyBorder="1"/>
    <xf numFmtId="164" fontId="10" fillId="2" borderId="0" xfId="3" applyNumberFormat="1" applyFont="1" applyFill="1"/>
    <xf numFmtId="44" fontId="24" fillId="6" borderId="8" xfId="4" applyFont="1" applyFill="1" applyBorder="1"/>
    <xf numFmtId="44" fontId="20" fillId="6" borderId="10" xfId="4" applyFont="1" applyFill="1" applyBorder="1"/>
    <xf numFmtId="44" fontId="20" fillId="2" borderId="0" xfId="4" applyFont="1" applyFill="1" applyBorder="1"/>
    <xf numFmtId="44" fontId="20" fillId="2" borderId="8" xfId="4" applyFont="1" applyFill="1" applyBorder="1"/>
    <xf numFmtId="44" fontId="10" fillId="2" borderId="8" xfId="3" applyNumberFormat="1" applyFont="1" applyFill="1" applyBorder="1"/>
    <xf numFmtId="0" fontId="20" fillId="2" borderId="1" xfId="3" applyFont="1" applyFill="1" applyBorder="1" applyAlignment="1">
      <alignment horizontal="center"/>
    </xf>
    <xf numFmtId="44" fontId="23" fillId="9" borderId="0" xfId="4" applyFont="1" applyFill="1" applyBorder="1"/>
    <xf numFmtId="41" fontId="10" fillId="9" borderId="0" xfId="3" applyNumberFormat="1" applyFont="1" applyFill="1"/>
    <xf numFmtId="164" fontId="10" fillId="7" borderId="0" xfId="3" applyNumberFormat="1" applyFont="1" applyFill="1"/>
    <xf numFmtId="165" fontId="10" fillId="2" borderId="0" xfId="4" applyNumberFormat="1" applyFont="1" applyFill="1" applyBorder="1"/>
    <xf numFmtId="0" fontId="22" fillId="2" borderId="9" xfId="3" applyFont="1" applyFill="1" applyBorder="1"/>
    <xf numFmtId="0" fontId="10" fillId="2" borderId="12" xfId="3" applyFont="1" applyFill="1" applyBorder="1"/>
    <xf numFmtId="44" fontId="20" fillId="2" borderId="11" xfId="4" applyFont="1" applyFill="1" applyBorder="1"/>
    <xf numFmtId="164" fontId="8" fillId="0" borderId="0" xfId="0" applyNumberFormat="1" applyFont="1"/>
    <xf numFmtId="0" fontId="25" fillId="0" borderId="0" xfId="0" applyFont="1" applyAlignment="1">
      <alignment horizontal="centerContinuous"/>
    </xf>
    <xf numFmtId="0" fontId="25" fillId="0" borderId="0" xfId="0" applyFont="1"/>
    <xf numFmtId="0" fontId="0" fillId="0" borderId="13" xfId="0" applyBorder="1" applyAlignment="1">
      <alignment horizontal="center"/>
    </xf>
    <xf numFmtId="16" fontId="2" fillId="0" borderId="14" xfId="0" applyNumberFormat="1" applyFont="1" applyBorder="1" applyAlignment="1">
      <alignment horizontal="center"/>
    </xf>
    <xf numFmtId="16" fontId="2" fillId="0" borderId="15" xfId="0" applyNumberFormat="1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1" fontId="0" fillId="0" borderId="17" xfId="0" applyNumberFormat="1" applyBorder="1"/>
    <xf numFmtId="0" fontId="2" fillId="0" borderId="19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0" borderId="22" xfId="0" applyFont="1" applyBorder="1" applyAlignment="1">
      <alignment horizontal="center"/>
    </xf>
    <xf numFmtId="170" fontId="2" fillId="0" borderId="14" xfId="0" applyNumberFormat="1" applyFont="1" applyBorder="1" applyAlignment="1">
      <alignment horizontal="center"/>
    </xf>
    <xf numFmtId="16" fontId="2" fillId="2" borderId="14" xfId="0" applyNumberFormat="1" applyFont="1" applyFill="1" applyBorder="1" applyAlignment="1">
      <alignment horizontal="center"/>
    </xf>
    <xf numFmtId="164" fontId="13" fillId="11" borderId="0" xfId="1" applyNumberFormat="1" applyFont="1" applyFill="1"/>
    <xf numFmtId="164" fontId="13" fillId="11" borderId="1" xfId="1" applyNumberFormat="1" applyFont="1" applyFill="1" applyBorder="1"/>
    <xf numFmtId="4" fontId="4" fillId="11" borderId="0" xfId="1" applyNumberFormat="1" applyFont="1" applyFill="1" applyAlignment="1">
      <alignment horizontal="right"/>
    </xf>
    <xf numFmtId="43" fontId="10" fillId="11" borderId="0" xfId="1" applyFont="1" applyFill="1" applyAlignment="1">
      <alignment horizontal="right"/>
    </xf>
    <xf numFmtId="10" fontId="0" fillId="11" borderId="0" xfId="11" applyNumberFormat="1" applyFont="1" applyFill="1"/>
    <xf numFmtId="41" fontId="10" fillId="8" borderId="1" xfId="3" applyNumberFormat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2" fontId="0" fillId="11" borderId="0" xfId="0" applyNumberFormat="1" applyFill="1" applyAlignment="1">
      <alignment horizontal="center"/>
    </xf>
    <xf numFmtId="165" fontId="0" fillId="11" borderId="0" xfId="2" applyNumberFormat="1" applyFont="1" applyFill="1" applyBorder="1" applyAlignment="1">
      <alignment horizontal="center"/>
    </xf>
    <xf numFmtId="164" fontId="2" fillId="0" borderId="0" xfId="1" applyNumberFormat="1" applyFont="1" applyFill="1"/>
    <xf numFmtId="43" fontId="2" fillId="0" borderId="0" xfId="1" applyFont="1"/>
    <xf numFmtId="43" fontId="2" fillId="6" borderId="2" xfId="1" applyFont="1" applyFill="1" applyBorder="1"/>
    <xf numFmtId="43" fontId="2" fillId="10" borderId="0" xfId="1" applyFont="1" applyFill="1"/>
    <xf numFmtId="165" fontId="2" fillId="6" borderId="2" xfId="2" applyNumberFormat="1" applyFont="1" applyFill="1" applyBorder="1"/>
    <xf numFmtId="44" fontId="2" fillId="0" borderId="0" xfId="0" applyNumberFormat="1" applyFont="1"/>
    <xf numFmtId="164" fontId="2" fillId="0" borderId="0" xfId="1" applyNumberFormat="1" applyFont="1"/>
    <xf numFmtId="165" fontId="2" fillId="0" borderId="2" xfId="2" applyNumberFormat="1" applyFont="1" applyBorder="1"/>
    <xf numFmtId="165" fontId="2" fillId="0" borderId="0" xfId="2" applyNumberFormat="1" applyFont="1"/>
    <xf numFmtId="43" fontId="0" fillId="0" borderId="1" xfId="1" applyFont="1" applyFill="1" applyBorder="1"/>
    <xf numFmtId="43" fontId="2" fillId="0" borderId="2" xfId="1" applyFont="1" applyFill="1" applyBorder="1"/>
    <xf numFmtId="0" fontId="2" fillId="0" borderId="2" xfId="0" applyFont="1" applyBorder="1"/>
    <xf numFmtId="43" fontId="2" fillId="0" borderId="2" xfId="1" applyFont="1" applyBorder="1"/>
    <xf numFmtId="43" fontId="0" fillId="11" borderId="0" xfId="1" applyFont="1" applyFill="1"/>
    <xf numFmtId="0" fontId="20" fillId="2" borderId="4" xfId="3" applyFont="1" applyFill="1" applyBorder="1"/>
    <xf numFmtId="2" fontId="0" fillId="6" borderId="0" xfId="0" applyNumberFormat="1" applyFill="1"/>
    <xf numFmtId="0" fontId="22" fillId="2" borderId="23" xfId="3" applyFont="1" applyFill="1" applyBorder="1"/>
    <xf numFmtId="44" fontId="20" fillId="2" borderId="24" xfId="4" applyFont="1" applyFill="1" applyBorder="1"/>
    <xf numFmtId="0" fontId="10" fillId="0" borderId="12" xfId="3" applyFont="1" applyBorder="1"/>
    <xf numFmtId="44" fontId="10" fillId="6" borderId="0" xfId="4" applyFont="1" applyFill="1" applyBorder="1"/>
    <xf numFmtId="44" fontId="10" fillId="2" borderId="0" xfId="4" applyFont="1" applyFill="1" applyBorder="1"/>
    <xf numFmtId="44" fontId="24" fillId="6" borderId="0" xfId="4" applyFont="1" applyFill="1" applyBorder="1"/>
    <xf numFmtId="44" fontId="20" fillId="7" borderId="2" xfId="4" applyFont="1" applyFill="1" applyBorder="1"/>
    <xf numFmtId="44" fontId="10" fillId="7" borderId="0" xfId="4" applyFont="1" applyFill="1" applyBorder="1"/>
    <xf numFmtId="44" fontId="20" fillId="6" borderId="2" xfId="4" applyFont="1" applyFill="1" applyBorder="1"/>
    <xf numFmtId="44" fontId="20" fillId="2" borderId="1" xfId="4" applyFont="1" applyFill="1" applyBorder="1"/>
    <xf numFmtId="44" fontId="20" fillId="2" borderId="12" xfId="4" applyFont="1" applyFill="1" applyBorder="1"/>
    <xf numFmtId="0" fontId="22" fillId="2" borderId="0" xfId="3" applyFont="1" applyFill="1"/>
    <xf numFmtId="41" fontId="10" fillId="3" borderId="0" xfId="3" applyNumberFormat="1" applyFont="1" applyFill="1"/>
    <xf numFmtId="44" fontId="24" fillId="2" borderId="0" xfId="4" applyFont="1" applyFill="1" applyBorder="1"/>
    <xf numFmtId="0" fontId="10" fillId="2" borderId="0" xfId="3" applyFont="1" applyFill="1" applyAlignment="1">
      <alignment horizontal="right"/>
    </xf>
    <xf numFmtId="44" fontId="20" fillId="2" borderId="0" xfId="3" applyNumberFormat="1" applyFont="1" applyFill="1"/>
    <xf numFmtId="44" fontId="10" fillId="2" borderId="0" xfId="3" applyNumberFormat="1" applyFont="1" applyFill="1"/>
    <xf numFmtId="43" fontId="10" fillId="2" borderId="0" xfId="3" applyNumberFormat="1" applyFont="1" applyFill="1"/>
    <xf numFmtId="165" fontId="11" fillId="0" borderId="0" xfId="2" applyNumberFormat="1" applyFont="1"/>
    <xf numFmtId="165" fontId="11" fillId="0" borderId="0" xfId="3" applyNumberFormat="1" applyFont="1"/>
    <xf numFmtId="0" fontId="19" fillId="2" borderId="0" xfId="3" applyFont="1" applyFill="1" applyAlignment="1">
      <alignment horizontal="center"/>
    </xf>
    <xf numFmtId="0" fontId="18" fillId="2" borderId="0" xfId="3" applyFont="1" applyFill="1" applyAlignment="1">
      <alignment horizontal="center"/>
    </xf>
    <xf numFmtId="0" fontId="19" fillId="2" borderId="7" xfId="3" applyFont="1" applyFill="1" applyBorder="1" applyAlignment="1">
      <alignment horizontal="center"/>
    </xf>
    <xf numFmtId="0" fontId="19" fillId="2" borderId="8" xfId="3" applyFont="1" applyFill="1" applyBorder="1" applyAlignment="1">
      <alignment horizontal="center"/>
    </xf>
    <xf numFmtId="0" fontId="26" fillId="2" borderId="7" xfId="3" applyFont="1" applyFill="1" applyBorder="1" applyAlignment="1">
      <alignment horizontal="center"/>
    </xf>
    <xf numFmtId="0" fontId="26" fillId="2" borderId="0" xfId="3" applyFont="1" applyFill="1" applyAlignment="1">
      <alignment horizontal="center"/>
    </xf>
    <xf numFmtId="0" fontId="26" fillId="2" borderId="8" xfId="3" applyFont="1" applyFill="1" applyBorder="1" applyAlignment="1">
      <alignment horizontal="center"/>
    </xf>
    <xf numFmtId="43" fontId="7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43" fontId="10" fillId="0" borderId="0" xfId="6" applyFont="1" applyAlignment="1">
      <alignment horizontal="center"/>
      <protection locked="0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2">
    <cellStyle name="Comma" xfId="1" builtinId="3"/>
    <cellStyle name="Comma 2" xfId="10" xr:uid="{00000000-0005-0000-0000-000001000000}"/>
    <cellStyle name="Comma 3 2" xfId="5" xr:uid="{00000000-0005-0000-0000-000002000000}"/>
    <cellStyle name="Comma 9 3" xfId="9" xr:uid="{00000000-0005-0000-0000-000003000000}"/>
    <cellStyle name="Comma_Sheet1 (2)" xfId="6" xr:uid="{00000000-0005-0000-0000-000004000000}"/>
    <cellStyle name="Currency" xfId="2" builtinId="4"/>
    <cellStyle name="Currency 3 2" xfId="4" xr:uid="{00000000-0005-0000-0000-000006000000}"/>
    <cellStyle name="Normal" xfId="0" builtinId="0"/>
    <cellStyle name="Normal 13 3" xfId="7" xr:uid="{00000000-0005-0000-0000-000008000000}"/>
    <cellStyle name="Normal 2 3" xfId="3" xr:uid="{00000000-0005-0000-0000-000009000000}"/>
    <cellStyle name="Normal 4" xfId="8" xr:uid="{00000000-0005-0000-0000-00000A000000}"/>
    <cellStyle name="Percent" xfId="1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c135fe794020e1e5/Documents/WA%20Clients/Sound%20Disposal/SDI%20-%20CPA%20Filling%20Eff.%203.1.2023/WM%20disposal%20report.xlsx" TargetMode="External"/><Relationship Id="rId1" Type="http://schemas.openxmlformats.org/officeDocument/2006/relationships/externalLinkPath" Target="https://d.docs.live.net/c135fe794020e1e5/Documents/WA%20Clients/Sound%20Disposal/SDI%20-%20CPA%20Filling%20Eff.%203.1.2023/WM%20disposal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0"/>
      <sheetName val="2021"/>
      <sheetName val="2022"/>
    </sheetNames>
    <sheetDataSet>
      <sheetData sheetId="0"/>
      <sheetData sheetId="1"/>
      <sheetData sheetId="2">
        <row r="10">
          <cell r="B10">
            <v>81.46048946791673</v>
          </cell>
          <cell r="C10">
            <v>6690.35</v>
          </cell>
        </row>
        <row r="11">
          <cell r="B11">
            <v>89.09115550647526</v>
          </cell>
          <cell r="C11">
            <v>8874.3700000000008</v>
          </cell>
        </row>
        <row r="12">
          <cell r="B12">
            <v>85.470436131701433</v>
          </cell>
          <cell r="C12">
            <v>9916.2800000000007</v>
          </cell>
        </row>
        <row r="13">
          <cell r="B13">
            <v>78.710455563853614</v>
          </cell>
          <cell r="C13">
            <v>10539.33</v>
          </cell>
        </row>
        <row r="14">
          <cell r="B14">
            <v>85.920326176404586</v>
          </cell>
          <cell r="C14">
            <v>11484.97</v>
          </cell>
        </row>
        <row r="15">
          <cell r="B15">
            <v>78.410084431468476</v>
          </cell>
          <cell r="C15">
            <v>9936.91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Hammond, Greg (UTC)" id="{C22F0A4B-B3DA-4A4C-A204-4562B36D5018}" userId="S::greg.hammond@utc.wa.gov::1a12d6dc-9091-421a-bf06-5f0772164ea0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W15" dT="2021-07-06T16:06:00.38" personId="{C22F0A4B-B3DA-4A4C-A204-4562B36D5018}" id="{04156B1C-0FC8-4F65-BE48-CCD35C9AFF11}">
    <text>This was changed to the total regulated commodity values to reflect the fact that only residential commodity adjustment was in place at the time this was set.</text>
  </threadedComment>
  <threadedComment ref="E43" dT="2021-07-06T16:41:05.64" personId="{C22F0A4B-B3DA-4A4C-A204-4562B36D5018}" id="{9C5C5738-0672-428F-A788-C067E4A3CE46}">
    <text>Pulled from current commodity value table for 96 gal</text>
  </threadedComment>
  <threadedComment ref="K43" dT="2021-07-06T16:41:05.64" personId="{C22F0A4B-B3DA-4A4C-A204-4562B36D5018}" id="{80581467-A6CA-4902-80A5-2148692B4D00}">
    <text>Pulled from current commodity value table for 96 gal</text>
  </threadedComment>
  <threadedComment ref="Q43" dT="2021-07-06T16:41:05.64" personId="{C22F0A4B-B3DA-4A4C-A204-4562B36D5018}" id="{80581467-A6CA-4901-80A5-2148692B4D00}">
    <text>Pulled from current commodity value table for 96 gal</text>
  </threadedComment>
  <threadedComment ref="J65" dT="2021-07-06T16:43:49.80" personId="{C22F0A4B-B3DA-4A4C-A204-4562B36D5018}" id="{D5E911F6-776F-40BD-BB40-0BD818277CFD}">
    <text>Pulled from projected value from prior year</text>
  </threadedComment>
  <threadedComment ref="P65" dT="2021-07-06T16:43:49.80" personId="{C22F0A4B-B3DA-4A4C-A204-4562B36D5018}" id="{D5E911F6-776F-40BC-BB40-0BD818277CFD}">
    <text>Pulled from projected value from prior year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90"/>
  <sheetViews>
    <sheetView tabSelected="1" topLeftCell="A7" zoomScale="85" zoomScaleNormal="85" zoomScaleSheetLayoutView="85" workbookViewId="0">
      <selection activeCell="F87" sqref="F87"/>
    </sheetView>
  </sheetViews>
  <sheetFormatPr defaultColWidth="8.85546875" defaultRowHeight="12.75" x14ac:dyDescent="0.2"/>
  <cols>
    <col min="1" max="1" width="11" style="118" customWidth="1"/>
    <col min="2" max="2" width="46" style="118" customWidth="1"/>
    <col min="3" max="3" width="14.5703125" style="118" customWidth="1"/>
    <col min="4" max="4" width="13.28515625" style="118" customWidth="1"/>
    <col min="5" max="5" width="10.7109375" style="118" customWidth="1"/>
    <col min="6" max="6" width="11.85546875" style="118" customWidth="1"/>
    <col min="7" max="7" width="11" style="118" customWidth="1"/>
    <col min="8" max="8" width="46" style="118" customWidth="1"/>
    <col min="9" max="9" width="14.5703125" style="118" customWidth="1"/>
    <col min="10" max="10" width="13.28515625" style="118" customWidth="1"/>
    <col min="11" max="11" width="10.7109375" style="118" customWidth="1"/>
    <col min="12" max="12" width="11.85546875" style="118" customWidth="1"/>
    <col min="13" max="13" width="11" style="118" customWidth="1"/>
    <col min="14" max="14" width="46" style="118" customWidth="1"/>
    <col min="15" max="15" width="14.5703125" style="118" customWidth="1"/>
    <col min="16" max="16" width="13.28515625" style="118" customWidth="1"/>
    <col min="17" max="17" width="10.7109375" style="118" customWidth="1"/>
    <col min="18" max="18" width="11.85546875" style="118" customWidth="1"/>
    <col min="19" max="19" width="11" style="118" customWidth="1"/>
    <col min="20" max="20" width="46" style="118" customWidth="1"/>
    <col min="21" max="21" width="14.5703125" style="118" customWidth="1"/>
    <col min="22" max="22" width="13.42578125" style="118" customWidth="1"/>
    <col min="23" max="23" width="11" style="118" customWidth="1"/>
    <col min="24" max="24" width="11.85546875" style="118" customWidth="1"/>
    <col min="25" max="25" width="11" style="118" customWidth="1"/>
    <col min="26" max="26" width="46" style="118" customWidth="1"/>
    <col min="27" max="27" width="10.42578125" style="118" bestFit="1" customWidth="1"/>
    <col min="28" max="28" width="13.42578125" style="118" customWidth="1"/>
    <col min="29" max="29" width="11" style="118" customWidth="1"/>
    <col min="30" max="30" width="11.85546875" style="118" customWidth="1"/>
    <col min="31" max="31" width="35.85546875" style="118" customWidth="1"/>
    <col min="32" max="32" width="21.5703125" style="118" customWidth="1"/>
    <col min="33" max="33" width="24.140625" style="118" customWidth="1"/>
    <col min="34" max="34" width="11" style="118" bestFit="1" customWidth="1"/>
    <col min="35" max="35" width="10.5703125" style="118" bestFit="1" customWidth="1"/>
    <col min="36" max="36" width="10.42578125" style="118" customWidth="1"/>
    <col min="37" max="16384" width="8.85546875" style="118"/>
  </cols>
  <sheetData>
    <row r="1" spans="1:36" ht="19.5" customHeight="1" x14ac:dyDescent="0.25">
      <c r="A1" s="209" t="str">
        <f>+G1</f>
        <v>Sound Disposal Inc.</v>
      </c>
      <c r="B1" s="115"/>
      <c r="C1" s="116"/>
      <c r="D1" s="116"/>
      <c r="E1" s="116"/>
      <c r="F1" s="117"/>
      <c r="G1" s="114" t="str">
        <f>+M1</f>
        <v>Sound Disposal Inc.</v>
      </c>
      <c r="H1" s="115"/>
      <c r="I1" s="116"/>
      <c r="J1" s="116"/>
      <c r="K1" s="116"/>
      <c r="L1" s="117"/>
      <c r="M1" s="114" t="str">
        <f>+S1</f>
        <v>Sound Disposal Inc.</v>
      </c>
      <c r="N1" s="115"/>
      <c r="O1" s="116"/>
      <c r="P1" s="116"/>
      <c r="Q1" s="116"/>
      <c r="R1" s="117"/>
      <c r="S1" s="114" t="str">
        <f>Y1</f>
        <v>Sound Disposal Inc.</v>
      </c>
      <c r="T1" s="115"/>
      <c r="U1" s="116"/>
      <c r="V1" s="116"/>
      <c r="W1" s="116"/>
      <c r="X1" s="116"/>
      <c r="Y1" s="129" t="str">
        <f>AE1</f>
        <v>Sound Disposal Inc.</v>
      </c>
      <c r="Z1" s="129"/>
      <c r="AA1" s="122"/>
      <c r="AB1" s="122"/>
      <c r="AC1" s="122"/>
      <c r="AD1" s="122"/>
      <c r="AE1" s="129" t="s">
        <v>0</v>
      </c>
      <c r="AF1" s="129"/>
      <c r="AG1" s="122"/>
      <c r="AH1" s="122"/>
      <c r="AI1" s="122"/>
      <c r="AJ1" s="122"/>
    </row>
    <row r="2" spans="1:36" ht="15" x14ac:dyDescent="0.25">
      <c r="A2" s="119" t="s">
        <v>1</v>
      </c>
      <c r="B2" s="120"/>
      <c r="C2" s="121" t="s">
        <v>2</v>
      </c>
      <c r="D2" s="122"/>
      <c r="E2" s="122"/>
      <c r="F2" s="123"/>
      <c r="G2" s="119" t="s">
        <v>1</v>
      </c>
      <c r="H2" s="120"/>
      <c r="I2" s="121" t="s">
        <v>2</v>
      </c>
      <c r="J2" s="122"/>
      <c r="K2" s="122"/>
      <c r="L2" s="123"/>
      <c r="M2" s="119" t="s">
        <v>1</v>
      </c>
      <c r="N2" s="120"/>
      <c r="O2" s="121" t="s">
        <v>2</v>
      </c>
      <c r="P2" s="122"/>
      <c r="Q2" s="122"/>
      <c r="R2" s="123"/>
      <c r="S2" s="119" t="s">
        <v>1</v>
      </c>
      <c r="T2" s="120"/>
      <c r="U2" s="121" t="s">
        <v>2</v>
      </c>
      <c r="V2" s="122"/>
      <c r="W2" s="122"/>
      <c r="X2" s="122"/>
      <c r="Y2" s="120" t="s">
        <v>1</v>
      </c>
      <c r="Z2" s="120"/>
      <c r="AA2" s="121" t="s">
        <v>2</v>
      </c>
      <c r="AB2" s="122"/>
      <c r="AC2" s="122"/>
      <c r="AD2" s="122"/>
      <c r="AE2" s="120" t="s">
        <v>1</v>
      </c>
      <c r="AF2" s="120"/>
      <c r="AG2" s="121" t="s">
        <v>2</v>
      </c>
      <c r="AH2" s="122"/>
      <c r="AI2" s="122"/>
      <c r="AJ2" s="122"/>
    </row>
    <row r="3" spans="1:36" x14ac:dyDescent="0.2">
      <c r="A3" s="124" t="s">
        <v>3</v>
      </c>
      <c r="B3" s="125"/>
      <c r="C3" s="122"/>
      <c r="D3" s="122"/>
      <c r="E3" s="122"/>
      <c r="F3" s="123"/>
      <c r="G3" s="124" t="s">
        <v>109</v>
      </c>
      <c r="H3" s="125"/>
      <c r="I3" s="122"/>
      <c r="J3" s="122"/>
      <c r="K3" s="122"/>
      <c r="L3" s="123"/>
      <c r="M3" s="124" t="s">
        <v>3</v>
      </c>
      <c r="N3" s="125"/>
      <c r="O3" s="122"/>
      <c r="P3" s="122"/>
      <c r="Q3" s="122"/>
      <c r="R3" s="123"/>
      <c r="S3" s="124" t="s">
        <v>3</v>
      </c>
      <c r="T3" s="125"/>
      <c r="U3" s="122"/>
      <c r="V3" s="122"/>
      <c r="W3" s="122"/>
      <c r="X3" s="122"/>
      <c r="Y3" s="125" t="s">
        <v>3</v>
      </c>
      <c r="Z3" s="125"/>
      <c r="AA3" s="122"/>
      <c r="AB3" s="122"/>
      <c r="AC3" s="122"/>
      <c r="AD3" s="122"/>
      <c r="AE3" s="125" t="s">
        <v>4</v>
      </c>
      <c r="AF3" s="125"/>
      <c r="AG3" s="122"/>
      <c r="AH3" s="122"/>
      <c r="AI3" s="122"/>
      <c r="AJ3" s="122"/>
    </row>
    <row r="4" spans="1:36" ht="21" x14ac:dyDescent="0.35">
      <c r="A4" s="126"/>
      <c r="B4" s="232" t="s">
        <v>128</v>
      </c>
      <c r="C4" s="232"/>
      <c r="D4" s="232"/>
      <c r="E4" s="232"/>
      <c r="F4" s="123"/>
      <c r="G4" s="126"/>
      <c r="H4" s="232" t="s">
        <v>106</v>
      </c>
      <c r="I4" s="232"/>
      <c r="J4" s="232"/>
      <c r="K4" s="232"/>
      <c r="L4" s="123"/>
      <c r="M4" s="126"/>
      <c r="N4" s="232" t="s">
        <v>100</v>
      </c>
      <c r="O4" s="232"/>
      <c r="P4" s="232"/>
      <c r="Q4" s="232"/>
      <c r="R4" s="123"/>
      <c r="S4" s="126"/>
      <c r="T4" s="232" t="s">
        <v>98</v>
      </c>
      <c r="U4" s="232"/>
      <c r="V4" s="232"/>
      <c r="W4" s="232"/>
      <c r="X4" s="122"/>
      <c r="Y4" s="122"/>
      <c r="Z4" s="232" t="s">
        <v>5</v>
      </c>
      <c r="AA4" s="232"/>
      <c r="AB4" s="232"/>
      <c r="AC4" s="232"/>
      <c r="AD4" s="122"/>
      <c r="AE4" s="122"/>
      <c r="AF4" s="232" t="s">
        <v>6</v>
      </c>
      <c r="AG4" s="232"/>
      <c r="AH4" s="232"/>
      <c r="AI4" s="232"/>
      <c r="AJ4" s="122"/>
    </row>
    <row r="5" spans="1:36" x14ac:dyDescent="0.2">
      <c r="A5" s="126"/>
      <c r="B5" s="122"/>
      <c r="C5" s="122"/>
      <c r="D5" s="122"/>
      <c r="E5" s="122"/>
      <c r="F5" s="123"/>
      <c r="G5" s="126"/>
      <c r="H5" s="122"/>
      <c r="I5" s="122"/>
      <c r="J5" s="122"/>
      <c r="K5" s="122"/>
      <c r="L5" s="123"/>
      <c r="M5" s="126"/>
      <c r="N5" s="122"/>
      <c r="O5" s="122"/>
      <c r="P5" s="122"/>
      <c r="Q5" s="122"/>
      <c r="R5" s="123"/>
      <c r="S5" s="126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</row>
    <row r="6" spans="1:36" s="127" customFormat="1" ht="15.75" x14ac:dyDescent="0.25">
      <c r="A6" s="235" t="s">
        <v>7</v>
      </c>
      <c r="B6" s="236"/>
      <c r="C6" s="236"/>
      <c r="D6" s="236"/>
      <c r="E6" s="236"/>
      <c r="F6" s="237"/>
      <c r="G6" s="233" t="s">
        <v>7</v>
      </c>
      <c r="H6" s="231"/>
      <c r="I6" s="231"/>
      <c r="J6" s="231"/>
      <c r="K6" s="231"/>
      <c r="L6" s="234"/>
      <c r="M6" s="233" t="s">
        <v>7</v>
      </c>
      <c r="N6" s="231"/>
      <c r="O6" s="231"/>
      <c r="P6" s="231"/>
      <c r="Q6" s="231"/>
      <c r="R6" s="234"/>
      <c r="S6" s="233" t="s">
        <v>7</v>
      </c>
      <c r="T6" s="231"/>
      <c r="U6" s="231"/>
      <c r="V6" s="231"/>
      <c r="W6" s="231"/>
      <c r="X6" s="234"/>
      <c r="Y6" s="231" t="s">
        <v>7</v>
      </c>
      <c r="Z6" s="231"/>
      <c r="AA6" s="231"/>
      <c r="AB6" s="231"/>
      <c r="AC6" s="231"/>
      <c r="AD6" s="231"/>
      <c r="AE6" s="231" t="s">
        <v>7</v>
      </c>
      <c r="AF6" s="231"/>
      <c r="AG6" s="231"/>
      <c r="AH6" s="231"/>
      <c r="AI6" s="231"/>
      <c r="AJ6" s="231"/>
    </row>
    <row r="7" spans="1:36" s="127" customFormat="1" ht="15.75" x14ac:dyDescent="0.25">
      <c r="A7" s="128"/>
      <c r="B7" s="129"/>
      <c r="C7" s="129"/>
      <c r="D7" s="129"/>
      <c r="E7" s="129"/>
      <c r="F7" s="130"/>
      <c r="G7" s="128"/>
      <c r="H7" s="129"/>
      <c r="I7" s="129"/>
      <c r="J7" s="129"/>
      <c r="K7" s="129"/>
      <c r="L7" s="130"/>
      <c r="M7" s="128"/>
      <c r="N7" s="129"/>
      <c r="O7" s="129"/>
      <c r="P7" s="129"/>
      <c r="Q7" s="129"/>
      <c r="R7" s="130"/>
      <c r="S7" s="128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</row>
    <row r="8" spans="1:36" s="127" customFormat="1" ht="15.75" x14ac:dyDescent="0.25">
      <c r="A8" s="128"/>
      <c r="B8" s="129"/>
      <c r="C8" s="131"/>
      <c r="D8" s="131" t="s">
        <v>8</v>
      </c>
      <c r="E8" s="131" t="s">
        <v>9</v>
      </c>
      <c r="F8" s="130"/>
      <c r="G8" s="128"/>
      <c r="H8" s="129"/>
      <c r="I8" s="131"/>
      <c r="J8" s="131" t="s">
        <v>8</v>
      </c>
      <c r="K8" s="131" t="s">
        <v>9</v>
      </c>
      <c r="L8" s="130"/>
      <c r="M8" s="128"/>
      <c r="N8" s="129"/>
      <c r="O8" s="131"/>
      <c r="P8" s="131" t="s">
        <v>8</v>
      </c>
      <c r="Q8" s="131" t="s">
        <v>9</v>
      </c>
      <c r="R8" s="130"/>
      <c r="S8" s="128"/>
      <c r="T8" s="129"/>
      <c r="U8" s="131"/>
      <c r="V8" s="131" t="s">
        <v>8</v>
      </c>
      <c r="W8" s="131" t="s">
        <v>9</v>
      </c>
      <c r="X8" s="129"/>
      <c r="Y8" s="129"/>
      <c r="Z8" s="129"/>
      <c r="AA8" s="131"/>
      <c r="AB8" s="131" t="s">
        <v>8</v>
      </c>
      <c r="AC8" s="131" t="s">
        <v>9</v>
      </c>
      <c r="AD8" s="129"/>
      <c r="AE8" s="129"/>
      <c r="AF8" s="129"/>
      <c r="AG8" s="131"/>
      <c r="AH8" s="131" t="s">
        <v>8</v>
      </c>
      <c r="AI8" s="131" t="s">
        <v>9</v>
      </c>
      <c r="AJ8" s="129"/>
    </row>
    <row r="9" spans="1:36" s="127" customFormat="1" ht="15.75" x14ac:dyDescent="0.25">
      <c r="A9" s="128"/>
      <c r="B9" s="129"/>
      <c r="C9" s="132" t="s">
        <v>10</v>
      </c>
      <c r="D9" s="132" t="s">
        <v>126</v>
      </c>
      <c r="E9" s="132" t="s">
        <v>12</v>
      </c>
      <c r="F9" s="130"/>
      <c r="G9" s="128"/>
      <c r="H9" s="129"/>
      <c r="I9" s="132" t="s">
        <v>10</v>
      </c>
      <c r="J9" s="132" t="s">
        <v>11</v>
      </c>
      <c r="K9" s="132" t="s">
        <v>12</v>
      </c>
      <c r="L9" s="130"/>
      <c r="M9" s="128"/>
      <c r="N9" s="129"/>
      <c r="O9" s="132" t="s">
        <v>10</v>
      </c>
      <c r="P9" s="132" t="s">
        <v>11</v>
      </c>
      <c r="Q9" s="132" t="s">
        <v>12</v>
      </c>
      <c r="R9" s="130"/>
      <c r="S9" s="128"/>
      <c r="T9" s="129"/>
      <c r="U9" s="132" t="s">
        <v>10</v>
      </c>
      <c r="V9" s="132" t="s">
        <v>11</v>
      </c>
      <c r="W9" s="132" t="s">
        <v>12</v>
      </c>
      <c r="X9" s="129"/>
      <c r="Y9" s="129"/>
      <c r="Z9" s="129"/>
      <c r="AA9" s="132" t="s">
        <v>10</v>
      </c>
      <c r="AB9" s="132" t="s">
        <v>11</v>
      </c>
      <c r="AC9" s="132" t="s">
        <v>12</v>
      </c>
      <c r="AD9" s="129"/>
      <c r="AE9" s="129"/>
      <c r="AF9" s="129"/>
      <c r="AG9" s="132" t="s">
        <v>10</v>
      </c>
      <c r="AH9" s="132" t="s">
        <v>11</v>
      </c>
      <c r="AI9" s="132" t="s">
        <v>12</v>
      </c>
      <c r="AJ9" s="129"/>
    </row>
    <row r="10" spans="1:36" s="127" customFormat="1" ht="15.75" x14ac:dyDescent="0.25">
      <c r="A10" s="133" t="s">
        <v>127</v>
      </c>
      <c r="B10" s="134"/>
      <c r="C10" s="135"/>
      <c r="D10" s="135"/>
      <c r="E10" s="135"/>
      <c r="F10" s="130"/>
      <c r="G10" s="133" t="s">
        <v>108</v>
      </c>
      <c r="H10" s="134"/>
      <c r="I10" s="135"/>
      <c r="J10" s="135"/>
      <c r="K10" s="135"/>
      <c r="L10" s="130"/>
      <c r="M10" s="133" t="s">
        <v>96</v>
      </c>
      <c r="N10" s="134"/>
      <c r="O10" s="135"/>
      <c r="P10" s="135"/>
      <c r="Q10" s="135"/>
      <c r="R10" s="130"/>
      <c r="S10" s="133" t="s">
        <v>96</v>
      </c>
      <c r="T10" s="134"/>
      <c r="U10" s="135"/>
      <c r="V10" s="135"/>
      <c r="W10" s="135"/>
      <c r="X10" s="129"/>
      <c r="Y10" s="150" t="s">
        <v>13</v>
      </c>
      <c r="Z10" s="150"/>
      <c r="AA10" s="135"/>
      <c r="AB10" s="135"/>
      <c r="AC10" s="135"/>
      <c r="AD10" s="129"/>
      <c r="AE10" s="150" t="s">
        <v>14</v>
      </c>
      <c r="AF10" s="150"/>
      <c r="AG10" s="135"/>
      <c r="AH10" s="135"/>
      <c r="AI10" s="135"/>
      <c r="AJ10" s="129"/>
    </row>
    <row r="11" spans="1:36" s="127" customFormat="1" ht="15.75" x14ac:dyDescent="0.25">
      <c r="A11" s="136" t="s">
        <v>111</v>
      </c>
      <c r="B11" s="129"/>
      <c r="C11" s="139">
        <f>SUM('Customer Summary'!B8:D8)</f>
        <v>5271</v>
      </c>
      <c r="D11" s="138">
        <f>+J12</f>
        <v>-3.1789233961280918</v>
      </c>
      <c r="E11" s="139">
        <f>C11*D11</f>
        <v>-16756.105220991172</v>
      </c>
      <c r="F11" s="130"/>
      <c r="G11" s="136" t="s">
        <v>15</v>
      </c>
      <c r="H11" s="129"/>
      <c r="I11" s="137">
        <f>'Cust-PickUps'!N11*3</f>
        <v>5256</v>
      </c>
      <c r="J11" s="138">
        <f>+P12</f>
        <v>-4.0239170458884486</v>
      </c>
      <c r="K11" s="139">
        <f>I11*J11</f>
        <v>-21149.707993189684</v>
      </c>
      <c r="L11" s="130"/>
      <c r="M11" s="136" t="s">
        <v>15</v>
      </c>
      <c r="N11" s="129"/>
      <c r="O11" s="137">
        <f>'Cust-PickUps'!AJ11*3</f>
        <v>5160</v>
      </c>
      <c r="P11" s="138">
        <f>+V12</f>
        <v>-4.2024024995887101</v>
      </c>
      <c r="Q11" s="139">
        <f>O11*P11</f>
        <v>-21684.396897877745</v>
      </c>
      <c r="R11" s="130"/>
      <c r="S11" s="136" t="s">
        <v>15</v>
      </c>
      <c r="T11" s="129"/>
      <c r="U11" s="139">
        <f>+AA11</f>
        <v>5265</v>
      </c>
      <c r="V11" s="138">
        <f>+AJ25</f>
        <v>-3.1505548636774381</v>
      </c>
      <c r="W11" s="139">
        <f>U11*V11</f>
        <v>-16587.671357261712</v>
      </c>
      <c r="X11" s="129"/>
      <c r="Y11" s="222" t="s">
        <v>15</v>
      </c>
      <c r="Z11" s="129"/>
      <c r="AA11" s="140">
        <f>SUM(Data!AQ5:AQ7)</f>
        <v>5265</v>
      </c>
      <c r="AB11" s="138">
        <f>AH12</f>
        <v>0</v>
      </c>
      <c r="AC11" s="140">
        <f>AA11*AB11</f>
        <v>0</v>
      </c>
      <c r="AD11" s="129"/>
      <c r="AE11" s="222" t="s">
        <v>16</v>
      </c>
      <c r="AF11" s="129"/>
      <c r="AG11" s="140">
        <v>0</v>
      </c>
      <c r="AH11" s="138">
        <v>0</v>
      </c>
      <c r="AI11" s="140">
        <f>AG11*AH11</f>
        <v>0</v>
      </c>
      <c r="AJ11" s="129"/>
    </row>
    <row r="12" spans="1:36" s="127" customFormat="1" ht="18" x14ac:dyDescent="0.4">
      <c r="A12" s="136" t="s">
        <v>112</v>
      </c>
      <c r="B12" s="129"/>
      <c r="C12" s="142">
        <f>SUM('Customer Summary'!E8:G8)</f>
        <v>5297</v>
      </c>
      <c r="D12" s="138">
        <f>+L25</f>
        <v>-1.9200556537996059</v>
      </c>
      <c r="E12" s="142">
        <f>C12*D12</f>
        <v>-10170.534798176512</v>
      </c>
      <c r="F12" s="130"/>
      <c r="G12" s="128" t="s">
        <v>17</v>
      </c>
      <c r="H12" s="129"/>
      <c r="I12" s="141">
        <f>'Cust-PickUps'!N11*9</f>
        <v>15768</v>
      </c>
      <c r="J12" s="138">
        <f>+R25</f>
        <v>-3.1789233961280918</v>
      </c>
      <c r="K12" s="142">
        <f>I12*J12</f>
        <v>-50125.264110147749</v>
      </c>
      <c r="L12" s="130"/>
      <c r="M12" s="128" t="s">
        <v>17</v>
      </c>
      <c r="N12" s="129"/>
      <c r="O12" s="141">
        <f>'Cust-PickUps'!AJ11*9</f>
        <v>15480</v>
      </c>
      <c r="P12" s="138">
        <f>+X25</f>
        <v>-4.0239170458884486</v>
      </c>
      <c r="Q12" s="142">
        <f>O12*P12</f>
        <v>-62290.235870353186</v>
      </c>
      <c r="R12" s="130"/>
      <c r="S12" s="128" t="s">
        <v>17</v>
      </c>
      <c r="T12" s="129"/>
      <c r="U12" s="142">
        <f>+AA12</f>
        <v>15795</v>
      </c>
      <c r="V12" s="138">
        <f>AD25</f>
        <v>-4.2024024995887101</v>
      </c>
      <c r="W12" s="142">
        <f>U12*V12</f>
        <v>-66376.947481003677</v>
      </c>
      <c r="X12" s="129"/>
      <c r="Y12" s="129" t="s">
        <v>17</v>
      </c>
      <c r="Z12" s="129"/>
      <c r="AA12" s="143">
        <f>SUM(Data!AQ8:AQ16)</f>
        <v>15795</v>
      </c>
      <c r="AB12" s="138">
        <f>AJ25</f>
        <v>-3.1505548636774381</v>
      </c>
      <c r="AC12" s="143">
        <f>AA12*AB12</f>
        <v>-49763.014071785132</v>
      </c>
      <c r="AD12" s="129"/>
      <c r="AE12" s="129" t="s">
        <v>18</v>
      </c>
      <c r="AF12" s="129"/>
      <c r="AG12" s="143">
        <f>Data!AZ28*12</f>
        <v>21060</v>
      </c>
      <c r="AH12" s="138">
        <v>0</v>
      </c>
      <c r="AI12" s="143">
        <f>AG12*AH12</f>
        <v>0</v>
      </c>
      <c r="AJ12" s="129"/>
    </row>
    <row r="13" spans="1:36" s="127" customFormat="1" ht="15.75" x14ac:dyDescent="0.25">
      <c r="A13" s="128" t="s">
        <v>9</v>
      </c>
      <c r="B13" s="129"/>
      <c r="C13" s="137">
        <f>SUM(C11:C12)</f>
        <v>10568</v>
      </c>
      <c r="D13" s="129"/>
      <c r="E13" s="139">
        <f>SUM(E11:E12)</f>
        <v>-26926.640019167684</v>
      </c>
      <c r="F13" s="130"/>
      <c r="G13" s="128" t="s">
        <v>9</v>
      </c>
      <c r="H13" s="129"/>
      <c r="I13" s="137">
        <f>SUM(I11:I12)</f>
        <v>21024</v>
      </c>
      <c r="J13" s="129"/>
      <c r="K13" s="139">
        <f>SUM(K11:K12)</f>
        <v>-71274.972103337437</v>
      </c>
      <c r="L13" s="130"/>
      <c r="M13" s="128" t="s">
        <v>9</v>
      </c>
      <c r="N13" s="129"/>
      <c r="O13" s="137">
        <f>SUM(O11:O12)</f>
        <v>20640</v>
      </c>
      <c r="P13" s="129"/>
      <c r="Q13" s="139">
        <f>SUM(Q11:Q12)</f>
        <v>-83974.632768230935</v>
      </c>
      <c r="R13" s="130"/>
      <c r="S13" s="128" t="s">
        <v>9</v>
      </c>
      <c r="T13" s="129"/>
      <c r="U13" s="139">
        <f>SUM(U11:U12)</f>
        <v>21060</v>
      </c>
      <c r="V13" s="129"/>
      <c r="W13" s="139">
        <f>SUM(W11:W12)</f>
        <v>-82964.618838265393</v>
      </c>
      <c r="X13" s="129"/>
      <c r="Y13" s="129" t="s">
        <v>9</v>
      </c>
      <c r="Z13" s="129"/>
      <c r="AA13" s="140">
        <f>SUM(AA11:AA12)</f>
        <v>21060</v>
      </c>
      <c r="AB13" s="129"/>
      <c r="AC13" s="140">
        <f>SUM(AC11:AC12)</f>
        <v>-49763.014071785132</v>
      </c>
      <c r="AD13" s="129"/>
      <c r="AE13" s="129" t="s">
        <v>9</v>
      </c>
      <c r="AF13" s="129"/>
      <c r="AG13" s="140">
        <f>SUM(AG11:AG12)</f>
        <v>21060</v>
      </c>
      <c r="AH13" s="129"/>
      <c r="AI13" s="140">
        <f>SUM(AI11:AI12)</f>
        <v>0</v>
      </c>
      <c r="AJ13" s="129"/>
    </row>
    <row r="14" spans="1:36" s="127" customFormat="1" ht="15.75" x14ac:dyDescent="0.25">
      <c r="A14" s="128"/>
      <c r="B14" s="129"/>
      <c r="C14" s="129"/>
      <c r="D14" s="129"/>
      <c r="E14" s="129"/>
      <c r="F14" s="130"/>
      <c r="G14" s="128"/>
      <c r="H14" s="129"/>
      <c r="I14" s="129"/>
      <c r="J14" s="129"/>
      <c r="K14" s="129"/>
      <c r="L14" s="130"/>
      <c r="M14" s="128"/>
      <c r="N14" s="129"/>
      <c r="O14" s="129"/>
      <c r="P14" s="129"/>
      <c r="Q14" s="129"/>
      <c r="R14" s="130"/>
      <c r="S14" s="128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</row>
    <row r="15" spans="1:36" s="127" customFormat="1" ht="15.75" x14ac:dyDescent="0.25">
      <c r="A15" s="144" t="s">
        <v>124</v>
      </c>
      <c r="B15" s="129"/>
      <c r="C15" s="129"/>
      <c r="D15" s="129"/>
      <c r="E15" s="139">
        <f>-Data!F20</f>
        <v>-33446.498497413653</v>
      </c>
      <c r="F15" s="130"/>
      <c r="G15" s="144" t="s">
        <v>19</v>
      </c>
      <c r="H15" s="129"/>
      <c r="I15" s="129"/>
      <c r="J15" s="129"/>
      <c r="K15" s="139">
        <f>-Data!O20</f>
        <v>-40367.250065482913</v>
      </c>
      <c r="L15" s="130"/>
      <c r="M15" s="144" t="s">
        <v>19</v>
      </c>
      <c r="N15" s="129"/>
      <c r="O15" s="129"/>
      <c r="P15" s="129"/>
      <c r="Q15" s="139">
        <f>-Data!Z20</f>
        <v>-65612.97889608382</v>
      </c>
      <c r="R15" s="130"/>
      <c r="S15" s="144" t="s">
        <v>19</v>
      </c>
      <c r="T15" s="129"/>
      <c r="U15" s="129"/>
      <c r="V15" s="129"/>
      <c r="W15" s="145">
        <f>-Data!AH20</f>
        <v>-92067.626533581279</v>
      </c>
      <c r="X15" s="129"/>
      <c r="Y15" s="150" t="s">
        <v>19</v>
      </c>
      <c r="Z15" s="129"/>
      <c r="AA15" s="129"/>
      <c r="AB15" s="129"/>
      <c r="AC15" s="223">
        <f>-Data!AS20</f>
        <v>-88502.596641338227</v>
      </c>
      <c r="AD15" s="129"/>
      <c r="AE15" s="150" t="s">
        <v>19</v>
      </c>
      <c r="AF15" s="129"/>
      <c r="AG15" s="129"/>
      <c r="AH15" s="129"/>
      <c r="AI15" s="140">
        <v>0</v>
      </c>
      <c r="AJ15" s="129"/>
    </row>
    <row r="16" spans="1:36" s="127" customFormat="1" ht="15.75" x14ac:dyDescent="0.25">
      <c r="A16" s="128"/>
      <c r="B16" s="129"/>
      <c r="C16" s="129"/>
      <c r="D16" s="129"/>
      <c r="E16" s="129"/>
      <c r="F16" s="130"/>
      <c r="G16" s="128"/>
      <c r="H16" s="129"/>
      <c r="I16" s="129"/>
      <c r="J16" s="129"/>
      <c r="K16" s="129"/>
      <c r="L16" s="130"/>
      <c r="M16" s="128"/>
      <c r="N16" s="129"/>
      <c r="O16" s="129"/>
      <c r="P16" s="129"/>
      <c r="Q16" s="129"/>
      <c r="R16" s="130"/>
      <c r="S16" s="128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</row>
    <row r="17" spans="1:36" s="127" customFormat="1" ht="15.75" x14ac:dyDescent="0.25">
      <c r="A17" s="128" t="s">
        <v>20</v>
      </c>
      <c r="B17" s="129"/>
      <c r="C17" s="129"/>
      <c r="D17" s="129"/>
      <c r="E17" s="139">
        <f>+E15-E13</f>
        <v>-6519.8584782459693</v>
      </c>
      <c r="F17" s="130"/>
      <c r="G17" s="128" t="s">
        <v>20</v>
      </c>
      <c r="H17" s="129"/>
      <c r="I17" s="129"/>
      <c r="J17" s="129"/>
      <c r="K17" s="139">
        <f>+K15-K13</f>
        <v>30907.722037854524</v>
      </c>
      <c r="L17" s="130"/>
      <c r="M17" s="128" t="s">
        <v>20</v>
      </c>
      <c r="N17" s="129"/>
      <c r="O17" s="129"/>
      <c r="P17" s="129"/>
      <c r="Q17" s="139">
        <f>+Q15-Q13</f>
        <v>18361.653872147115</v>
      </c>
      <c r="R17" s="130"/>
      <c r="S17" s="128" t="s">
        <v>20</v>
      </c>
      <c r="T17" s="129"/>
      <c r="U17" s="129"/>
      <c r="V17" s="129"/>
      <c r="W17" s="139">
        <f>+W15-W13</f>
        <v>-9103.0076953158859</v>
      </c>
      <c r="X17" s="129"/>
      <c r="Y17" s="129" t="s">
        <v>20</v>
      </c>
      <c r="Z17" s="129"/>
      <c r="AA17" s="129"/>
      <c r="AB17" s="129"/>
      <c r="AC17" s="140">
        <f>+AC15-AC13</f>
        <v>-38739.582569553095</v>
      </c>
      <c r="AD17" s="129"/>
      <c r="AE17" s="129" t="s">
        <v>20</v>
      </c>
      <c r="AF17" s="129"/>
      <c r="AG17" s="129"/>
      <c r="AH17" s="129"/>
      <c r="AI17" s="140">
        <f>+AI15-AI13</f>
        <v>0</v>
      </c>
      <c r="AJ17" s="129"/>
    </row>
    <row r="18" spans="1:36" s="127" customFormat="1" ht="15.75" x14ac:dyDescent="0.25">
      <c r="A18" s="128"/>
      <c r="B18" s="129"/>
      <c r="C18" s="129"/>
      <c r="D18" s="129"/>
      <c r="E18" s="129"/>
      <c r="F18" s="130"/>
      <c r="G18" s="128"/>
      <c r="H18" s="129"/>
      <c r="I18" s="129"/>
      <c r="J18" s="129"/>
      <c r="K18" s="129"/>
      <c r="L18" s="130"/>
      <c r="M18" s="128"/>
      <c r="N18" s="129"/>
      <c r="O18" s="129"/>
      <c r="P18" s="129"/>
      <c r="Q18" s="129"/>
      <c r="R18" s="130"/>
      <c r="S18" s="128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</row>
    <row r="19" spans="1:36" s="127" customFormat="1" ht="15.75" x14ac:dyDescent="0.25">
      <c r="A19" s="128" t="s">
        <v>21</v>
      </c>
      <c r="B19" s="129"/>
      <c r="C19" s="129"/>
      <c r="D19" s="129"/>
      <c r="E19" s="139">
        <f>C13</f>
        <v>10568</v>
      </c>
      <c r="F19" s="130"/>
      <c r="G19" s="128" t="s">
        <v>21</v>
      </c>
      <c r="H19" s="129"/>
      <c r="I19" s="129"/>
      <c r="J19" s="129"/>
      <c r="K19" s="139">
        <f>I13</f>
        <v>21024</v>
      </c>
      <c r="L19" s="130"/>
      <c r="M19" s="128" t="s">
        <v>21</v>
      </c>
      <c r="N19" s="129"/>
      <c r="O19" s="129"/>
      <c r="P19" s="129"/>
      <c r="Q19" s="139">
        <f>O13</f>
        <v>20640</v>
      </c>
      <c r="R19" s="130"/>
      <c r="S19" s="128" t="s">
        <v>21</v>
      </c>
      <c r="T19" s="129"/>
      <c r="U19" s="129"/>
      <c r="V19" s="129"/>
      <c r="W19" s="139">
        <f>U13</f>
        <v>21060</v>
      </c>
      <c r="X19" s="129"/>
      <c r="Y19" s="129" t="s">
        <v>21</v>
      </c>
      <c r="Z19" s="129"/>
      <c r="AA19" s="129"/>
      <c r="AB19" s="129"/>
      <c r="AC19" s="140">
        <f>AA13</f>
        <v>21060</v>
      </c>
      <c r="AD19" s="129"/>
      <c r="AE19" s="129" t="s">
        <v>21</v>
      </c>
      <c r="AF19" s="129"/>
      <c r="AG19" s="129"/>
      <c r="AH19" s="129"/>
      <c r="AI19" s="140">
        <f>+AG13</f>
        <v>21060</v>
      </c>
      <c r="AJ19" s="129"/>
    </row>
    <row r="20" spans="1:36" s="127" customFormat="1" ht="15.75" x14ac:dyDescent="0.25">
      <c r="A20" s="128"/>
      <c r="B20" s="129"/>
      <c r="C20" s="129"/>
      <c r="D20" s="129"/>
      <c r="E20" s="129"/>
      <c r="F20" s="130"/>
      <c r="G20" s="128"/>
      <c r="H20" s="129"/>
      <c r="I20" s="129"/>
      <c r="J20" s="129"/>
      <c r="K20" s="129"/>
      <c r="L20" s="130"/>
      <c r="M20" s="128"/>
      <c r="N20" s="129"/>
      <c r="O20" s="129"/>
      <c r="P20" s="129"/>
      <c r="Q20" s="129"/>
      <c r="R20" s="130"/>
      <c r="S20" s="128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</row>
    <row r="21" spans="1:36" s="127" customFormat="1" ht="15.75" x14ac:dyDescent="0.25">
      <c r="A21" s="128" t="s">
        <v>22</v>
      </c>
      <c r="B21" s="129"/>
      <c r="C21" s="129"/>
      <c r="D21" s="129"/>
      <c r="E21" s="129"/>
      <c r="F21" s="146">
        <f>(E17/E19)</f>
        <v>-0.61694345933440287</v>
      </c>
      <c r="G21" s="128" t="s">
        <v>22</v>
      </c>
      <c r="H21" s="129"/>
      <c r="I21" s="129"/>
      <c r="J21" s="129"/>
      <c r="K21" s="129"/>
      <c r="L21" s="146">
        <f>(K17/K19)</f>
        <v>1.4701161547685753</v>
      </c>
      <c r="M21" s="128" t="s">
        <v>22</v>
      </c>
      <c r="N21" s="129"/>
      <c r="O21" s="129"/>
      <c r="P21" s="129"/>
      <c r="Q21" s="129"/>
      <c r="R21" s="146">
        <f>(Q17/Q19)</f>
        <v>0.88961501318542224</v>
      </c>
      <c r="S21" s="128" t="s">
        <v>22</v>
      </c>
      <c r="T21" s="129"/>
      <c r="U21" s="129"/>
      <c r="V21" s="129"/>
      <c r="W21" s="129"/>
      <c r="X21" s="214">
        <f>(W17/W19)</f>
        <v>-0.4322415809741636</v>
      </c>
      <c r="Y21" s="129" t="s">
        <v>22</v>
      </c>
      <c r="Z21" s="129"/>
      <c r="AA21" s="129"/>
      <c r="AB21" s="129"/>
      <c r="AC21" s="129"/>
      <c r="AD21" s="215">
        <f>(AC17/AC19)</f>
        <v>-1.8394863518306312</v>
      </c>
      <c r="AE21" s="129" t="s">
        <v>22</v>
      </c>
      <c r="AF21" s="129"/>
      <c r="AG21" s="129"/>
      <c r="AH21" s="129"/>
      <c r="AI21" s="129"/>
      <c r="AJ21" s="215">
        <f>(AI17/AI19)</f>
        <v>0</v>
      </c>
    </row>
    <row r="22" spans="1:36" s="127" customFormat="1" ht="15.75" x14ac:dyDescent="0.25">
      <c r="A22" s="128"/>
      <c r="B22" s="129"/>
      <c r="C22" s="129"/>
      <c r="D22" s="129"/>
      <c r="E22" s="129"/>
      <c r="F22" s="147"/>
      <c r="G22" s="128"/>
      <c r="H22" s="129"/>
      <c r="I22" s="129"/>
      <c r="J22" s="129"/>
      <c r="K22" s="129"/>
      <c r="L22" s="147"/>
      <c r="M22" s="128"/>
      <c r="N22" s="129"/>
      <c r="O22" s="129"/>
      <c r="P22" s="129"/>
      <c r="Q22" s="129"/>
      <c r="R22" s="147"/>
      <c r="S22" s="128"/>
      <c r="T22" s="129"/>
      <c r="U22" s="129"/>
      <c r="V22" s="129"/>
      <c r="W22" s="129"/>
      <c r="X22" s="215"/>
      <c r="Y22" s="129"/>
      <c r="Z22" s="129"/>
      <c r="AA22" s="129"/>
      <c r="AB22" s="129"/>
      <c r="AC22" s="129"/>
      <c r="AD22" s="215"/>
      <c r="AE22" s="129"/>
      <c r="AF22" s="129"/>
      <c r="AG22" s="129"/>
      <c r="AH22" s="129"/>
      <c r="AI22" s="129"/>
      <c r="AJ22" s="215"/>
    </row>
    <row r="23" spans="1:36" s="127" customFormat="1" ht="15.75" x14ac:dyDescent="0.25">
      <c r="A23" s="133" t="s">
        <v>129</v>
      </c>
      <c r="B23" s="134"/>
      <c r="C23" s="129"/>
      <c r="D23" s="129"/>
      <c r="E23" s="148">
        <f>E15</f>
        <v>-33446.498497413653</v>
      </c>
      <c r="F23" s="147"/>
      <c r="G23" s="133" t="s">
        <v>105</v>
      </c>
      <c r="H23" s="134"/>
      <c r="I23" s="129"/>
      <c r="J23" s="129"/>
      <c r="K23" s="148">
        <f>K15</f>
        <v>-40367.250065482913</v>
      </c>
      <c r="L23" s="147"/>
      <c r="M23" s="133" t="s">
        <v>101</v>
      </c>
      <c r="N23" s="134"/>
      <c r="O23" s="129"/>
      <c r="P23" s="129"/>
      <c r="Q23" s="148">
        <f>Q15</f>
        <v>-65612.97889608382</v>
      </c>
      <c r="R23" s="147"/>
      <c r="S23" s="133" t="s">
        <v>97</v>
      </c>
      <c r="T23" s="134"/>
      <c r="U23" s="129"/>
      <c r="V23" s="129"/>
      <c r="W23" s="149">
        <f>-Data!AJ20</f>
        <v>-84743.692986410722</v>
      </c>
      <c r="X23" s="215"/>
      <c r="Y23" s="150" t="s">
        <v>23</v>
      </c>
      <c r="Z23" s="150"/>
      <c r="AA23" s="129"/>
      <c r="AB23" s="129"/>
      <c r="AC23" s="151">
        <f>AC15</f>
        <v>-88502.596641338227</v>
      </c>
      <c r="AD23" s="215"/>
      <c r="AE23" s="150" t="s">
        <v>13</v>
      </c>
      <c r="AF23" s="150"/>
      <c r="AG23" s="129"/>
      <c r="AH23" s="129"/>
      <c r="AI23" s="152">
        <f>-Data!AZ26</f>
        <v>-66350.685429046847</v>
      </c>
      <c r="AJ23" s="215"/>
    </row>
    <row r="24" spans="1:36" s="127" customFormat="1" ht="15.75" x14ac:dyDescent="0.25">
      <c r="A24" s="128" t="s">
        <v>21</v>
      </c>
      <c r="B24" s="129"/>
      <c r="C24" s="129"/>
      <c r="D24" s="129"/>
      <c r="E24" s="153">
        <f>E19</f>
        <v>10568</v>
      </c>
      <c r="F24" s="147"/>
      <c r="G24" s="128" t="s">
        <v>21</v>
      </c>
      <c r="H24" s="129"/>
      <c r="I24" s="129"/>
      <c r="J24" s="129"/>
      <c r="K24" s="153">
        <f>K19</f>
        <v>21024</v>
      </c>
      <c r="L24" s="147"/>
      <c r="M24" s="128" t="s">
        <v>21</v>
      </c>
      <c r="N24" s="129"/>
      <c r="O24" s="129"/>
      <c r="P24" s="129"/>
      <c r="Q24" s="153">
        <f>Q19</f>
        <v>20640</v>
      </c>
      <c r="R24" s="147"/>
      <c r="S24" s="128" t="s">
        <v>21</v>
      </c>
      <c r="T24" s="129"/>
      <c r="U24" s="129"/>
      <c r="V24" s="129"/>
      <c r="W24" s="153">
        <f>W19</f>
        <v>21060</v>
      </c>
      <c r="X24" s="215"/>
      <c r="Y24" s="129" t="s">
        <v>21</v>
      </c>
      <c r="Z24" s="129"/>
      <c r="AA24" s="129"/>
      <c r="AB24" s="129"/>
      <c r="AC24" s="153">
        <f>AC19</f>
        <v>21060</v>
      </c>
      <c r="AD24" s="215"/>
      <c r="AE24" s="129" t="s">
        <v>21</v>
      </c>
      <c r="AF24" s="129"/>
      <c r="AG24" s="129"/>
      <c r="AH24" s="129"/>
      <c r="AI24" s="140">
        <f>AI19</f>
        <v>21060</v>
      </c>
      <c r="AJ24" s="215"/>
    </row>
    <row r="25" spans="1:36" s="127" customFormat="1" ht="18" x14ac:dyDescent="0.4">
      <c r="A25" s="128" t="s">
        <v>24</v>
      </c>
      <c r="B25" s="129"/>
      <c r="C25" s="129"/>
      <c r="D25" s="129"/>
      <c r="E25" s="129"/>
      <c r="F25" s="154">
        <f>(E23/E24)</f>
        <v>-3.164884414971012</v>
      </c>
      <c r="G25" s="128" t="s">
        <v>24</v>
      </c>
      <c r="H25" s="129"/>
      <c r="I25" s="129"/>
      <c r="J25" s="129"/>
      <c r="K25" s="129"/>
      <c r="L25" s="154">
        <f>(K23/K24)</f>
        <v>-1.9200556537996059</v>
      </c>
      <c r="M25" s="128" t="s">
        <v>24</v>
      </c>
      <c r="N25" s="129"/>
      <c r="O25" s="129"/>
      <c r="P25" s="129"/>
      <c r="Q25" s="129"/>
      <c r="R25" s="154">
        <f>(Q23/Q24)</f>
        <v>-3.1789233961280918</v>
      </c>
      <c r="S25" s="128" t="s">
        <v>24</v>
      </c>
      <c r="T25" s="129"/>
      <c r="U25" s="129"/>
      <c r="V25" s="129"/>
      <c r="W25" s="129"/>
      <c r="X25" s="216">
        <f>(W23/W24)</f>
        <v>-4.0239170458884486</v>
      </c>
      <c r="Y25" s="129" t="s">
        <v>24</v>
      </c>
      <c r="Z25" s="129"/>
      <c r="AA25" s="129"/>
      <c r="AB25" s="129"/>
      <c r="AC25" s="129"/>
      <c r="AD25" s="224">
        <f>(AC23/AC24)</f>
        <v>-4.2024024995887101</v>
      </c>
      <c r="AE25" s="129" t="s">
        <v>24</v>
      </c>
      <c r="AF25" s="129"/>
      <c r="AG25" s="129"/>
      <c r="AH25" s="129"/>
      <c r="AI25" s="129"/>
      <c r="AJ25" s="224">
        <f>(AI23/AI24)</f>
        <v>-3.1505548636774381</v>
      </c>
    </row>
    <row r="26" spans="1:36" s="127" customFormat="1" ht="18" x14ac:dyDescent="0.4">
      <c r="A26" s="128"/>
      <c r="B26" s="129"/>
      <c r="C26" s="129"/>
      <c r="D26" s="129"/>
      <c r="E26" s="129"/>
      <c r="F26" s="130"/>
      <c r="G26" s="128"/>
      <c r="H26" s="129"/>
      <c r="I26" s="129"/>
      <c r="J26" s="129"/>
      <c r="K26" s="129"/>
      <c r="L26" s="154"/>
      <c r="M26" s="128"/>
      <c r="N26" s="129"/>
      <c r="O26" s="129"/>
      <c r="P26" s="129"/>
      <c r="Q26" s="129"/>
      <c r="R26" s="154"/>
      <c r="S26" s="128"/>
      <c r="T26" s="129"/>
      <c r="U26" s="129"/>
      <c r="V26" s="129"/>
      <c r="W26" s="129"/>
      <c r="X26" s="216"/>
      <c r="Y26" s="129"/>
      <c r="Z26" s="129"/>
      <c r="AA26" s="129"/>
      <c r="AB26" s="129"/>
      <c r="AC26" s="129"/>
      <c r="AD26" s="224"/>
      <c r="AE26" s="129"/>
      <c r="AF26" s="129"/>
      <c r="AG26" s="129"/>
      <c r="AH26" s="129"/>
      <c r="AI26" s="129"/>
      <c r="AJ26" s="224"/>
    </row>
    <row r="27" spans="1:36" s="127" customFormat="1" ht="15.75" x14ac:dyDescent="0.25">
      <c r="A27" s="128"/>
      <c r="B27" s="129"/>
      <c r="C27" s="129"/>
      <c r="D27" s="129"/>
      <c r="E27" s="129"/>
      <c r="F27" s="147"/>
      <c r="G27" s="128"/>
      <c r="H27" s="129"/>
      <c r="I27" s="129"/>
      <c r="J27" s="129"/>
      <c r="K27" s="129"/>
      <c r="L27" s="147"/>
      <c r="M27" s="128"/>
      <c r="N27" s="129"/>
      <c r="O27" s="129"/>
      <c r="P27" s="129"/>
      <c r="Q27" s="129"/>
      <c r="R27" s="147"/>
      <c r="S27" s="128"/>
      <c r="T27" s="129"/>
      <c r="U27" s="129"/>
      <c r="V27" s="129"/>
      <c r="W27" s="129"/>
      <c r="X27" s="215"/>
      <c r="Y27" s="129"/>
      <c r="Z27" s="129"/>
      <c r="AA27" s="129"/>
      <c r="AB27" s="129"/>
      <c r="AC27" s="129"/>
      <c r="AD27" s="215"/>
      <c r="AE27" s="129"/>
      <c r="AF27" s="129"/>
      <c r="AG27" s="129"/>
      <c r="AH27" s="129"/>
      <c r="AI27" s="129"/>
      <c r="AJ27" s="215"/>
    </row>
    <row r="28" spans="1:36" s="127" customFormat="1" ht="16.5" thickBot="1" x14ac:dyDescent="0.3">
      <c r="A28" s="144" t="s">
        <v>25</v>
      </c>
      <c r="B28" s="150"/>
      <c r="C28" s="129"/>
      <c r="D28" s="129"/>
      <c r="E28" s="129"/>
      <c r="F28" s="155">
        <f>+F25+F21</f>
        <v>-3.781827874305415</v>
      </c>
      <c r="G28" s="144" t="s">
        <v>25</v>
      </c>
      <c r="H28" s="150"/>
      <c r="I28" s="129"/>
      <c r="J28" s="129"/>
      <c r="K28" s="129"/>
      <c r="L28" s="155">
        <f>+L25+L21</f>
        <v>-0.44993949903103059</v>
      </c>
      <c r="M28" s="144" t="s">
        <v>25</v>
      </c>
      <c r="N28" s="150"/>
      <c r="O28" s="129"/>
      <c r="P28" s="129"/>
      <c r="Q28" s="129"/>
      <c r="R28" s="155">
        <f>+R25+R21</f>
        <v>-2.2893083829426697</v>
      </c>
      <c r="S28" s="144" t="s">
        <v>25</v>
      </c>
      <c r="T28" s="150"/>
      <c r="U28" s="129"/>
      <c r="V28" s="129"/>
      <c r="W28" s="129"/>
      <c r="X28" s="217">
        <f>+X25+X21</f>
        <v>-4.4561586268626119</v>
      </c>
      <c r="Y28" s="150" t="s">
        <v>25</v>
      </c>
      <c r="Z28" s="150"/>
      <c r="AA28" s="129"/>
      <c r="AB28" s="129"/>
      <c r="AC28" s="129"/>
      <c r="AD28" s="156">
        <f>+AD25+AD21</f>
        <v>-6.0418888514193414</v>
      </c>
      <c r="AE28" s="150" t="s">
        <v>25</v>
      </c>
      <c r="AF28" s="150"/>
      <c r="AG28" s="129"/>
      <c r="AH28" s="129"/>
      <c r="AI28" s="129"/>
      <c r="AJ28" s="156">
        <f>+AJ25+AJ21</f>
        <v>-3.1505548636774381</v>
      </c>
    </row>
    <row r="29" spans="1:36" s="127" customFormat="1" ht="16.5" thickTop="1" x14ac:dyDescent="0.25">
      <c r="A29" s="136"/>
      <c r="B29" s="129"/>
      <c r="C29" s="129"/>
      <c r="D29" s="129"/>
      <c r="E29" s="129"/>
      <c r="F29" s="157"/>
      <c r="G29" s="136"/>
      <c r="H29" s="129"/>
      <c r="I29" s="129"/>
      <c r="J29" s="129"/>
      <c r="K29" s="129"/>
      <c r="L29" s="157"/>
      <c r="M29" s="136"/>
      <c r="N29" s="129"/>
      <c r="O29" s="129"/>
      <c r="P29" s="129"/>
      <c r="Q29" s="129"/>
      <c r="R29" s="156"/>
      <c r="S29" s="136"/>
      <c r="T29" s="129"/>
      <c r="U29" s="129"/>
      <c r="V29" s="129"/>
      <c r="W29" s="129"/>
      <c r="X29" s="156"/>
      <c r="Y29" s="222" t="s">
        <v>26</v>
      </c>
      <c r="Z29" s="129"/>
      <c r="AA29" s="129"/>
      <c r="AB29" s="129"/>
      <c r="AC29" s="129"/>
      <c r="AD29" s="156"/>
      <c r="AE29" s="222" t="s">
        <v>26</v>
      </c>
      <c r="AF29" s="129"/>
      <c r="AG29" s="129"/>
      <c r="AH29" s="129"/>
      <c r="AI29" s="129"/>
      <c r="AJ29" s="156">
        <v>0</v>
      </c>
    </row>
    <row r="30" spans="1:36" s="127" customFormat="1" ht="15.75" x14ac:dyDescent="0.25">
      <c r="A30" s="128"/>
      <c r="B30" s="129"/>
      <c r="C30" s="129"/>
      <c r="D30" s="129"/>
      <c r="E30" s="129"/>
      <c r="F30" s="157"/>
      <c r="G30" s="128"/>
      <c r="H30" s="129"/>
      <c r="I30" s="129"/>
      <c r="J30" s="129"/>
      <c r="K30" s="129"/>
      <c r="L30" s="157"/>
      <c r="M30" s="128"/>
      <c r="N30" s="129"/>
      <c r="O30" s="129"/>
      <c r="P30" s="129"/>
      <c r="Q30" s="129"/>
      <c r="R30" s="156"/>
      <c r="S30" s="128"/>
      <c r="T30" s="129"/>
      <c r="U30" s="129"/>
      <c r="V30" s="129"/>
      <c r="W30" s="129"/>
      <c r="X30" s="156"/>
      <c r="Y30" s="129"/>
      <c r="Z30" s="129"/>
      <c r="AA30" s="129"/>
      <c r="AB30" s="129"/>
      <c r="AC30" s="129"/>
      <c r="AD30" s="156"/>
      <c r="AE30" s="129"/>
      <c r="AF30" s="129"/>
      <c r="AG30" s="129"/>
      <c r="AH30" s="129"/>
      <c r="AI30" s="225"/>
      <c r="AJ30" s="150"/>
    </row>
    <row r="31" spans="1:36" s="127" customFormat="1" ht="15.75" x14ac:dyDescent="0.25">
      <c r="A31" s="136"/>
      <c r="B31" s="129"/>
      <c r="C31" s="129"/>
      <c r="D31" s="129"/>
      <c r="E31" s="129"/>
      <c r="F31" s="157"/>
      <c r="G31" s="136"/>
      <c r="H31" s="129"/>
      <c r="I31" s="129"/>
      <c r="J31" s="129"/>
      <c r="K31" s="129"/>
      <c r="L31" s="157"/>
      <c r="M31" s="136"/>
      <c r="N31" s="129"/>
      <c r="O31" s="129"/>
      <c r="P31" s="129"/>
      <c r="Q31" s="129"/>
      <c r="R31" s="156"/>
      <c r="S31" s="136"/>
      <c r="T31" s="129"/>
      <c r="U31" s="129"/>
      <c r="V31" s="129"/>
      <c r="W31" s="129"/>
      <c r="X31" s="156"/>
      <c r="Y31" s="222" t="s">
        <v>27</v>
      </c>
      <c r="Z31" s="129"/>
      <c r="AA31" s="129"/>
      <c r="AB31" s="129"/>
      <c r="AC31" s="129"/>
      <c r="AD31" s="156">
        <f>SUM(AD28:AD30)</f>
        <v>-6.0418888514193414</v>
      </c>
      <c r="AE31" s="222" t="s">
        <v>27</v>
      </c>
      <c r="AF31" s="129"/>
      <c r="AG31" s="129"/>
      <c r="AH31" s="129"/>
      <c r="AI31" s="129"/>
      <c r="AJ31" s="226">
        <f>SUM(AJ28:AJ30)</f>
        <v>-3.1505548636774381</v>
      </c>
    </row>
    <row r="32" spans="1:36" s="127" customFormat="1" ht="15.75" x14ac:dyDescent="0.25">
      <c r="A32" s="128"/>
      <c r="B32" s="129"/>
      <c r="C32" s="129"/>
      <c r="D32" s="129"/>
      <c r="E32" s="129"/>
      <c r="F32" s="158"/>
      <c r="G32" s="128"/>
      <c r="H32" s="129"/>
      <c r="I32" s="129"/>
      <c r="J32" s="129"/>
      <c r="K32" s="129"/>
      <c r="L32" s="130"/>
      <c r="M32" s="128"/>
      <c r="N32" s="129"/>
      <c r="O32" s="129"/>
      <c r="P32" s="129"/>
      <c r="Q32" s="129"/>
      <c r="R32" s="129"/>
      <c r="S32" s="128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225"/>
      <c r="AJ32" s="227"/>
    </row>
    <row r="33" spans="1:36" s="127" customFormat="1" ht="15.75" x14ac:dyDescent="0.25">
      <c r="A33" s="128"/>
      <c r="B33" s="129"/>
      <c r="C33" s="129"/>
      <c r="D33" s="129"/>
      <c r="E33" s="129"/>
      <c r="F33" s="130"/>
      <c r="G33" s="128"/>
      <c r="H33" s="129"/>
      <c r="I33" s="129"/>
      <c r="J33" s="129"/>
      <c r="K33" s="129"/>
      <c r="L33" s="130"/>
      <c r="M33" s="128"/>
      <c r="N33" s="129"/>
      <c r="O33" s="129"/>
      <c r="P33" s="129"/>
      <c r="Q33" s="129"/>
      <c r="R33" s="130"/>
      <c r="S33" s="128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</row>
    <row r="34" spans="1:36" s="127" customFormat="1" ht="15.75" x14ac:dyDescent="0.25">
      <c r="A34" s="235" t="s">
        <v>130</v>
      </c>
      <c r="B34" s="236"/>
      <c r="C34" s="236"/>
      <c r="D34" s="236"/>
      <c r="E34" s="236"/>
      <c r="F34" s="237"/>
      <c r="G34" s="233" t="s">
        <v>28</v>
      </c>
      <c r="H34" s="231"/>
      <c r="I34" s="231"/>
      <c r="J34" s="231"/>
      <c r="K34" s="231"/>
      <c r="L34" s="234"/>
      <c r="M34" s="233" t="s">
        <v>28</v>
      </c>
      <c r="N34" s="231"/>
      <c r="O34" s="231"/>
      <c r="P34" s="231"/>
      <c r="Q34" s="231"/>
      <c r="R34" s="234"/>
      <c r="S34" s="233" t="s">
        <v>28</v>
      </c>
      <c r="T34" s="231"/>
      <c r="U34" s="231"/>
      <c r="V34" s="231"/>
      <c r="W34" s="231"/>
      <c r="X34" s="234"/>
      <c r="Y34" s="231" t="s">
        <v>28</v>
      </c>
      <c r="Z34" s="231"/>
      <c r="AA34" s="231"/>
      <c r="AB34" s="231"/>
      <c r="AC34" s="231"/>
      <c r="AD34" s="231"/>
      <c r="AE34" s="231" t="s">
        <v>28</v>
      </c>
      <c r="AF34" s="231"/>
      <c r="AG34" s="231"/>
      <c r="AH34" s="231"/>
      <c r="AI34" s="231"/>
      <c r="AJ34" s="231"/>
    </row>
    <row r="35" spans="1:36" s="127" customFormat="1" ht="15.75" x14ac:dyDescent="0.25">
      <c r="A35" s="128"/>
      <c r="B35" s="129"/>
      <c r="C35" s="129"/>
      <c r="D35" s="129"/>
      <c r="E35" s="129"/>
      <c r="F35" s="130"/>
      <c r="G35" s="128"/>
      <c r="H35" s="129"/>
      <c r="I35" s="129"/>
      <c r="J35" s="129"/>
      <c r="K35" s="129"/>
      <c r="L35" s="130"/>
      <c r="M35" s="128"/>
      <c r="N35" s="129"/>
      <c r="O35" s="129"/>
      <c r="P35" s="129"/>
      <c r="Q35" s="129"/>
      <c r="R35" s="130"/>
      <c r="S35" s="128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</row>
    <row r="36" spans="1:36" s="127" customFormat="1" ht="15.75" x14ac:dyDescent="0.25">
      <c r="A36" s="128"/>
      <c r="B36" s="129"/>
      <c r="C36" s="131"/>
      <c r="D36" s="131" t="s">
        <v>8</v>
      </c>
      <c r="E36" s="131" t="s">
        <v>9</v>
      </c>
      <c r="F36" s="130"/>
      <c r="G36" s="128"/>
      <c r="H36" s="129"/>
      <c r="I36" s="131"/>
      <c r="J36" s="131" t="s">
        <v>8</v>
      </c>
      <c r="K36" s="131" t="s">
        <v>9</v>
      </c>
      <c r="L36" s="130"/>
      <c r="M36" s="128"/>
      <c r="N36" s="129"/>
      <c r="O36" s="131"/>
      <c r="P36" s="131" t="s">
        <v>8</v>
      </c>
      <c r="Q36" s="131" t="s">
        <v>9</v>
      </c>
      <c r="R36" s="130"/>
      <c r="S36" s="128"/>
      <c r="T36" s="129"/>
      <c r="U36" s="131"/>
      <c r="V36" s="131" t="s">
        <v>8</v>
      </c>
      <c r="W36" s="131" t="s">
        <v>9</v>
      </c>
      <c r="X36" s="129"/>
      <c r="Y36" s="129"/>
      <c r="Z36" s="129"/>
      <c r="AA36" s="131"/>
      <c r="AB36" s="131" t="s">
        <v>8</v>
      </c>
      <c r="AC36" s="131" t="s">
        <v>9</v>
      </c>
      <c r="AD36" s="129"/>
      <c r="AE36" s="129"/>
      <c r="AF36" s="129"/>
      <c r="AG36" s="131"/>
      <c r="AH36" s="131" t="s">
        <v>8</v>
      </c>
      <c r="AI36" s="131" t="s">
        <v>9</v>
      </c>
      <c r="AJ36" s="129"/>
    </row>
    <row r="37" spans="1:36" s="127" customFormat="1" ht="15.75" x14ac:dyDescent="0.25">
      <c r="A37" s="128"/>
      <c r="B37" s="129"/>
      <c r="C37" s="159" t="s">
        <v>77</v>
      </c>
      <c r="D37" s="159" t="s">
        <v>11</v>
      </c>
      <c r="E37" s="159" t="s">
        <v>12</v>
      </c>
      <c r="F37" s="130"/>
      <c r="G37" s="128"/>
      <c r="H37" s="129"/>
      <c r="I37" s="159" t="s">
        <v>77</v>
      </c>
      <c r="J37" s="159" t="s">
        <v>11</v>
      </c>
      <c r="K37" s="159" t="s">
        <v>12</v>
      </c>
      <c r="L37" s="130"/>
      <c r="M37" s="128"/>
      <c r="N37" s="129"/>
      <c r="O37" s="159" t="s">
        <v>77</v>
      </c>
      <c r="P37" s="159" t="s">
        <v>11</v>
      </c>
      <c r="Q37" s="159" t="s">
        <v>12</v>
      </c>
      <c r="R37" s="130"/>
      <c r="S37" s="128"/>
      <c r="T37" s="129"/>
      <c r="U37" s="159" t="s">
        <v>77</v>
      </c>
      <c r="V37" s="159" t="s">
        <v>11</v>
      </c>
      <c r="W37" s="159" t="s">
        <v>12</v>
      </c>
      <c r="X37" s="129"/>
      <c r="Y37" s="129"/>
      <c r="Z37" s="129"/>
      <c r="AA37" s="131" t="s">
        <v>29</v>
      </c>
      <c r="AB37" s="131" t="s">
        <v>11</v>
      </c>
      <c r="AC37" s="131" t="s">
        <v>12</v>
      </c>
      <c r="AD37" s="129"/>
      <c r="AE37" s="129"/>
      <c r="AF37" s="129"/>
      <c r="AG37" s="131" t="s">
        <v>29</v>
      </c>
      <c r="AH37" s="131" t="s">
        <v>11</v>
      </c>
      <c r="AI37" s="131" t="s">
        <v>12</v>
      </c>
      <c r="AJ37" s="129"/>
    </row>
    <row r="38" spans="1:36" s="127" customFormat="1" ht="15.75" x14ac:dyDescent="0.25">
      <c r="A38" s="133" t="str">
        <f>A10</f>
        <v>Projected Expense July 2022-December 2022</v>
      </c>
      <c r="B38" s="134"/>
      <c r="C38" s="135"/>
      <c r="D38" s="135"/>
      <c r="E38" s="135"/>
      <c r="F38" s="130"/>
      <c r="G38" s="133" t="str">
        <f>G10</f>
        <v>Projected Revenue July 2021-June 2022</v>
      </c>
      <c r="H38" s="134"/>
      <c r="I38" s="135"/>
      <c r="J38" s="135"/>
      <c r="K38" s="135"/>
      <c r="L38" s="130"/>
      <c r="M38" s="133" t="str">
        <f>M10</f>
        <v>Projected Revenue July 2019-June 2020</v>
      </c>
      <c r="N38" s="134"/>
      <c r="O38" s="135"/>
      <c r="P38" s="135"/>
      <c r="Q38" s="135"/>
      <c r="R38" s="130"/>
      <c r="S38" s="133" t="str">
        <f>S10</f>
        <v>Projected Revenue July 2019-June 2020</v>
      </c>
      <c r="T38" s="134"/>
      <c r="U38" s="135"/>
      <c r="V38" s="135"/>
      <c r="W38" s="135"/>
      <c r="X38" s="129"/>
      <c r="Y38" s="150" t="str">
        <f>Y10</f>
        <v>Projected Revenue October 2018-September 2019</v>
      </c>
      <c r="Z38" s="150"/>
      <c r="AA38" s="135"/>
      <c r="AB38" s="135"/>
      <c r="AC38" s="135"/>
      <c r="AD38" s="129"/>
      <c r="AE38" s="150" t="str">
        <f>AE10</f>
        <v>Projected Revenue October 2017-September 2018</v>
      </c>
      <c r="AF38" s="150"/>
      <c r="AG38" s="135"/>
      <c r="AH38" s="135"/>
      <c r="AI38" s="135"/>
      <c r="AJ38" s="129"/>
    </row>
    <row r="39" spans="1:36" s="127" customFormat="1" ht="15.75" x14ac:dyDescent="0.25">
      <c r="A39" s="128" t="str">
        <f>A11</f>
        <v>Jul 22-Sep 22 projected value without adjustment factor</v>
      </c>
      <c r="B39" s="129"/>
      <c r="C39" s="139">
        <f>('Cust-PickUps'!E12+'Cust-PickUps'!D13)*3</f>
        <v>1230.7249999999999</v>
      </c>
      <c r="D39" s="138">
        <f>J40</f>
        <v>-0.73416244714274626</v>
      </c>
      <c r="E39" s="140">
        <f>C39*D39</f>
        <v>-903.55207775975634</v>
      </c>
      <c r="F39" s="130"/>
      <c r="G39" s="128" t="str">
        <f>G11</f>
        <v>Jul-Sep projected value without adjustment factor</v>
      </c>
      <c r="H39" s="129"/>
      <c r="I39" s="137">
        <f>+(+'Cust-PickUps'!O12+'Cust-PickUps'!O13)*3</f>
        <v>1204.3150000000001</v>
      </c>
      <c r="J39" s="138">
        <f>+R55</f>
        <v>-0.77134157224938715</v>
      </c>
      <c r="K39" s="140">
        <f>I39*J39</f>
        <v>-928.93822558352076</v>
      </c>
      <c r="L39" s="130"/>
      <c r="M39" s="128" t="str">
        <f>M11</f>
        <v>Jul-Sep projected value without adjustment factor</v>
      </c>
      <c r="N39" s="129"/>
      <c r="O39" s="137">
        <f>+(+'Cust-PickUps'!AK12+'Cust-PickUps'!AK13)*3</f>
        <v>1182.0900000000001</v>
      </c>
      <c r="P39" s="138">
        <v>0</v>
      </c>
      <c r="Q39" s="140">
        <f>O39*P39</f>
        <v>0</v>
      </c>
      <c r="R39" s="130"/>
      <c r="S39" s="128" t="str">
        <f>S11</f>
        <v>Jul-Sep projected value without adjustment factor</v>
      </c>
      <c r="T39" s="129"/>
      <c r="U39" s="139">
        <f>+(+'Cust-PickUps'!AW12+'Cust-PickUps'!AW13)*3</f>
        <v>1396.9499999999998</v>
      </c>
      <c r="V39" s="138">
        <v>0</v>
      </c>
      <c r="W39" s="140">
        <f>U39*V39</f>
        <v>0</v>
      </c>
      <c r="X39" s="129"/>
      <c r="Y39" s="129" t="str">
        <f>Y11</f>
        <v>Jul-Sep projected value without adjustment factor</v>
      </c>
      <c r="Z39" s="129"/>
      <c r="AA39" s="140"/>
      <c r="AB39" s="138">
        <f>AH40</f>
        <v>0</v>
      </c>
      <c r="AC39" s="140">
        <f>AA39*AB39</f>
        <v>0</v>
      </c>
      <c r="AD39" s="129"/>
      <c r="AE39" s="129" t="str">
        <f>AE11</f>
        <v>Aug-Sep projected value without adjustment factor</v>
      </c>
      <c r="AF39" s="129"/>
      <c r="AG39" s="140"/>
      <c r="AH39" s="138"/>
      <c r="AI39" s="140">
        <f>AG39*AH39</f>
        <v>0</v>
      </c>
      <c r="AJ39" s="129"/>
    </row>
    <row r="40" spans="1:36" s="127" customFormat="1" ht="18" x14ac:dyDescent="0.4">
      <c r="A40" s="128" t="str">
        <f>A12</f>
        <v>Oct 22-Dec 22 projected value without adjustment factor</v>
      </c>
      <c r="B40" s="129"/>
      <c r="C40" s="142">
        <f>C39</f>
        <v>1230.7249999999999</v>
      </c>
      <c r="D40" s="138">
        <f>L53</f>
        <v>-0.4436131742941008</v>
      </c>
      <c r="E40" s="143">
        <f>C40*D40</f>
        <v>-545.96582393310712</v>
      </c>
      <c r="F40" s="130"/>
      <c r="G40" s="128" t="str">
        <f>G12</f>
        <v>Oct-Jun projected value without adjustment factor</v>
      </c>
      <c r="H40" s="129"/>
      <c r="I40" s="141">
        <f>+(+'Cust-PickUps'!O12+'Cust-PickUps'!O13)*9</f>
        <v>3612.9450000000002</v>
      </c>
      <c r="J40" s="160">
        <f>R53</f>
        <v>-0.73416244714274626</v>
      </c>
      <c r="K40" s="143">
        <f>I40*J40</f>
        <v>-2652.4885425921493</v>
      </c>
      <c r="L40" s="130"/>
      <c r="M40" s="128" t="str">
        <f>M12</f>
        <v>Oct-Jun projected value without adjustment factor</v>
      </c>
      <c r="N40" s="129"/>
      <c r="O40" s="141">
        <f>+(+'Cust-PickUps'!AK12+'Cust-PickUps'!AK13)*9</f>
        <v>3546.2700000000004</v>
      </c>
      <c r="P40" s="160">
        <f>X53</f>
        <v>-0.92931109604814055</v>
      </c>
      <c r="Q40" s="143">
        <f>O40*P40</f>
        <v>-3295.5880605826396</v>
      </c>
      <c r="R40" s="130"/>
      <c r="S40" s="128" t="str">
        <f>S12</f>
        <v>Oct-Jun projected value without adjustment factor</v>
      </c>
      <c r="T40" s="129"/>
      <c r="U40" s="142">
        <f>+(+'Cust-PickUps'!AW12+'Cust-PickUps'!AW13)*9</f>
        <v>4190.8499999999995</v>
      </c>
      <c r="V40" s="138">
        <v>0</v>
      </c>
      <c r="W40" s="143">
        <f>U40*V40</f>
        <v>0</v>
      </c>
      <c r="X40" s="129"/>
      <c r="Y40" s="129" t="str">
        <f>Y12</f>
        <v>Oct-Jun projected value without adjustment factor</v>
      </c>
      <c r="Z40" s="129"/>
      <c r="AA40" s="143"/>
      <c r="AB40" s="138" t="e">
        <f>AJ53</f>
        <v>#DIV/0!</v>
      </c>
      <c r="AC40" s="143" t="e">
        <f>AA40*AB40</f>
        <v>#DIV/0!</v>
      </c>
      <c r="AD40" s="129"/>
      <c r="AE40" s="129" t="str">
        <f>AE12</f>
        <v>Oct-Sep projected value without adjustment factor</v>
      </c>
      <c r="AF40" s="129"/>
      <c r="AG40" s="143"/>
      <c r="AH40" s="138"/>
      <c r="AI40" s="143">
        <f>AG40*AH40</f>
        <v>0</v>
      </c>
      <c r="AJ40" s="129"/>
    </row>
    <row r="41" spans="1:36" s="127" customFormat="1" ht="15.75" x14ac:dyDescent="0.25">
      <c r="A41" s="128" t="s">
        <v>9</v>
      </c>
      <c r="B41" s="129"/>
      <c r="C41" s="137">
        <f>SUM(C39:C40)</f>
        <v>2461.4499999999998</v>
      </c>
      <c r="D41" s="129"/>
      <c r="E41" s="140">
        <f>+E40+E39</f>
        <v>-1449.5179016928635</v>
      </c>
      <c r="F41" s="130"/>
      <c r="G41" s="128" t="s">
        <v>9</v>
      </c>
      <c r="H41" s="129"/>
      <c r="I41" s="137">
        <f>SUM(I39:I40)</f>
        <v>4817.26</v>
      </c>
      <c r="J41" s="129"/>
      <c r="K41" s="140">
        <f>+K40+K39</f>
        <v>-3581.4267681756701</v>
      </c>
      <c r="L41" s="130"/>
      <c r="M41" s="128" t="s">
        <v>9</v>
      </c>
      <c r="N41" s="129"/>
      <c r="O41" s="137">
        <f>SUM(O39:O40)</f>
        <v>4728.3600000000006</v>
      </c>
      <c r="P41" s="129"/>
      <c r="Q41" s="140">
        <f>+Q40+Q39</f>
        <v>-3295.5880605826396</v>
      </c>
      <c r="R41" s="130"/>
      <c r="S41" s="128" t="s">
        <v>9</v>
      </c>
      <c r="T41" s="129"/>
      <c r="U41" s="139">
        <f>SUM(U39:U40)</f>
        <v>5587.7999999999993</v>
      </c>
      <c r="V41" s="129"/>
      <c r="W41" s="140">
        <f>+W40+W39</f>
        <v>0</v>
      </c>
      <c r="X41" s="129"/>
      <c r="Y41" s="129" t="s">
        <v>9</v>
      </c>
      <c r="Z41" s="129"/>
      <c r="AA41" s="140">
        <f>SUM(AA39:AA40)</f>
        <v>0</v>
      </c>
      <c r="AB41" s="129"/>
      <c r="AC41" s="140" t="e">
        <f>+AC40+AC39</f>
        <v>#DIV/0!</v>
      </c>
      <c r="AD41" s="129"/>
      <c r="AE41" s="129" t="s">
        <v>9</v>
      </c>
      <c r="AF41" s="129"/>
      <c r="AG41" s="140">
        <f>SUM(AG39:AG40)</f>
        <v>0</v>
      </c>
      <c r="AH41" s="129"/>
      <c r="AI41" s="140">
        <f>+AI40+AI39</f>
        <v>0</v>
      </c>
      <c r="AJ41" s="129"/>
    </row>
    <row r="42" spans="1:36" s="127" customFormat="1" ht="15.75" x14ac:dyDescent="0.25">
      <c r="A42" s="128"/>
      <c r="B42" s="129"/>
      <c r="C42" s="129"/>
      <c r="D42" s="129"/>
      <c r="E42" s="129"/>
      <c r="F42" s="130"/>
      <c r="G42" s="128"/>
      <c r="H42" s="129"/>
      <c r="I42" s="129"/>
      <c r="J42" s="129"/>
      <c r="K42" s="129"/>
      <c r="L42" s="130"/>
      <c r="M42" s="128"/>
      <c r="N42" s="129"/>
      <c r="O42" s="129"/>
      <c r="P42" s="129"/>
      <c r="Q42" s="129"/>
      <c r="R42" s="130"/>
      <c r="S42" s="128"/>
      <c r="T42" s="129"/>
      <c r="U42" s="129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29"/>
      <c r="AG42" s="129"/>
      <c r="AH42" s="129"/>
      <c r="AI42" s="129"/>
      <c r="AJ42" s="129"/>
    </row>
    <row r="43" spans="1:36" s="127" customFormat="1" ht="15.75" x14ac:dyDescent="0.25">
      <c r="A43" s="128" t="s">
        <v>123</v>
      </c>
      <c r="B43" s="129"/>
      <c r="C43" s="129"/>
      <c r="D43" s="129"/>
      <c r="E43" s="161">
        <f>-Data!G20</f>
        <v>-1811.9511465850208</v>
      </c>
      <c r="F43" s="130"/>
      <c r="G43" s="128" t="s">
        <v>30</v>
      </c>
      <c r="H43" s="129"/>
      <c r="I43" s="129"/>
      <c r="J43" s="129"/>
      <c r="K43" s="161">
        <v>-2137</v>
      </c>
      <c r="L43" s="130"/>
      <c r="M43" s="128" t="s">
        <v>30</v>
      </c>
      <c r="N43" s="129"/>
      <c r="O43" s="129"/>
      <c r="P43" s="129"/>
      <c r="Q43" s="161">
        <f>-Data!AA20</f>
        <v>-3471.3843485718762</v>
      </c>
      <c r="R43" s="130"/>
      <c r="S43" s="128" t="s">
        <v>30</v>
      </c>
      <c r="T43" s="129"/>
      <c r="U43" s="129"/>
      <c r="V43" s="129"/>
      <c r="W43" s="140">
        <f>-Data!AK20</f>
        <v>-5192.804542497799</v>
      </c>
      <c r="X43" s="129"/>
      <c r="Y43" s="129" t="s">
        <v>30</v>
      </c>
      <c r="Z43" s="129"/>
      <c r="AA43" s="129"/>
      <c r="AB43" s="129"/>
      <c r="AC43" s="140"/>
      <c r="AD43" s="129"/>
      <c r="AE43" s="129" t="s">
        <v>30</v>
      </c>
      <c r="AF43" s="129"/>
      <c r="AG43" s="129"/>
      <c r="AH43" s="129"/>
      <c r="AI43" s="140"/>
      <c r="AJ43" s="129"/>
    </row>
    <row r="44" spans="1:36" s="127" customFormat="1" ht="15.75" x14ac:dyDescent="0.25">
      <c r="A44" s="128"/>
      <c r="B44" s="129"/>
      <c r="C44" s="129"/>
      <c r="D44" s="129"/>
      <c r="E44" s="129"/>
      <c r="F44" s="130"/>
      <c r="G44" s="128"/>
      <c r="H44" s="129"/>
      <c r="I44" s="129"/>
      <c r="J44" s="129"/>
      <c r="K44" s="129"/>
      <c r="L44" s="130"/>
      <c r="M44" s="128"/>
      <c r="N44" s="129"/>
      <c r="O44" s="129"/>
      <c r="P44" s="129"/>
      <c r="Q44" s="129"/>
      <c r="R44" s="130"/>
      <c r="S44" s="128"/>
      <c r="T44" s="129"/>
      <c r="U44" s="129"/>
      <c r="V44" s="129"/>
      <c r="W44" s="129"/>
      <c r="X44" s="129"/>
      <c r="Y44" s="129"/>
      <c r="Z44" s="129"/>
      <c r="AA44" s="129"/>
      <c r="AB44" s="129"/>
      <c r="AC44" s="129"/>
      <c r="AD44" s="129"/>
      <c r="AE44" s="129"/>
      <c r="AF44" s="129"/>
      <c r="AG44" s="129"/>
      <c r="AH44" s="129"/>
      <c r="AI44" s="129"/>
      <c r="AJ44" s="129"/>
    </row>
    <row r="45" spans="1:36" s="127" customFormat="1" ht="15.75" x14ac:dyDescent="0.25">
      <c r="A45" s="128" t="s">
        <v>20</v>
      </c>
      <c r="B45" s="129"/>
      <c r="C45" s="129"/>
      <c r="D45" s="129"/>
      <c r="E45" s="140">
        <f>E43-E41</f>
        <v>-362.43324489215729</v>
      </c>
      <c r="F45" s="130"/>
      <c r="G45" s="128" t="s">
        <v>20</v>
      </c>
      <c r="H45" s="129"/>
      <c r="I45" s="129"/>
      <c r="J45" s="129"/>
      <c r="K45" s="140">
        <f>K43-K41</f>
        <v>1444.4267681756701</v>
      </c>
      <c r="L45" s="130"/>
      <c r="M45" s="128" t="s">
        <v>20</v>
      </c>
      <c r="N45" s="129"/>
      <c r="O45" s="129"/>
      <c r="P45" s="129"/>
      <c r="Q45" s="140">
        <f>Q43-Q41</f>
        <v>-175.79628798923659</v>
      </c>
      <c r="R45" s="130"/>
      <c r="S45" s="128" t="s">
        <v>20</v>
      </c>
      <c r="T45" s="129"/>
      <c r="U45" s="129"/>
      <c r="V45" s="129"/>
      <c r="W45" s="145">
        <v>0</v>
      </c>
      <c r="X45" s="129"/>
      <c r="Y45" s="129" t="s">
        <v>20</v>
      </c>
      <c r="Z45" s="129"/>
      <c r="AA45" s="129"/>
      <c r="AB45" s="129"/>
      <c r="AC45" s="140" t="e">
        <f>AC43-AC41</f>
        <v>#DIV/0!</v>
      </c>
      <c r="AD45" s="129"/>
      <c r="AE45" s="129" t="s">
        <v>20</v>
      </c>
      <c r="AF45" s="129"/>
      <c r="AG45" s="129"/>
      <c r="AH45" s="129"/>
      <c r="AI45" s="140">
        <f>AI43-AI41</f>
        <v>0</v>
      </c>
      <c r="AJ45" s="129"/>
    </row>
    <row r="46" spans="1:36" s="127" customFormat="1" ht="15.75" x14ac:dyDescent="0.25">
      <c r="A46" s="128"/>
      <c r="B46" s="129"/>
      <c r="C46" s="129"/>
      <c r="D46" s="129"/>
      <c r="E46" s="129"/>
      <c r="F46" s="130"/>
      <c r="G46" s="128"/>
      <c r="H46" s="129"/>
      <c r="I46" s="129"/>
      <c r="J46" s="129"/>
      <c r="K46" s="129"/>
      <c r="L46" s="130"/>
      <c r="M46" s="128"/>
      <c r="N46" s="129"/>
      <c r="O46" s="129"/>
      <c r="P46" s="129"/>
      <c r="Q46" s="129"/>
      <c r="R46" s="130"/>
      <c r="S46" s="128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</row>
    <row r="47" spans="1:36" s="127" customFormat="1" ht="15.75" x14ac:dyDescent="0.25">
      <c r="A47" s="128" t="s">
        <v>78</v>
      </c>
      <c r="B47" s="129"/>
      <c r="C47" s="129"/>
      <c r="D47" s="129"/>
      <c r="E47" s="153">
        <f>+C41</f>
        <v>2461.4499999999998</v>
      </c>
      <c r="F47" s="130"/>
      <c r="G47" s="128" t="s">
        <v>78</v>
      </c>
      <c r="H47" s="129"/>
      <c r="I47" s="129"/>
      <c r="J47" s="129"/>
      <c r="K47" s="153">
        <f>+I41</f>
        <v>4817.26</v>
      </c>
      <c r="L47" s="130"/>
      <c r="M47" s="128" t="s">
        <v>78</v>
      </c>
      <c r="N47" s="129"/>
      <c r="O47" s="129"/>
      <c r="P47" s="129"/>
      <c r="Q47" s="153">
        <f>+O41</f>
        <v>4728.3600000000006</v>
      </c>
      <c r="R47" s="130"/>
      <c r="S47" s="128" t="s">
        <v>78</v>
      </c>
      <c r="T47" s="129"/>
      <c r="U47" s="129"/>
      <c r="V47" s="129"/>
      <c r="W47" s="162">
        <v>0</v>
      </c>
      <c r="X47" s="129"/>
      <c r="Y47" s="129" t="s">
        <v>21</v>
      </c>
      <c r="Z47" s="129"/>
      <c r="AA47" s="129"/>
      <c r="AB47" s="129"/>
      <c r="AC47" s="228">
        <f>AA41/10*12</f>
        <v>0</v>
      </c>
      <c r="AD47" s="129"/>
      <c r="AE47" s="129" t="s">
        <v>21</v>
      </c>
      <c r="AF47" s="129"/>
      <c r="AG47" s="129"/>
      <c r="AH47" s="129"/>
      <c r="AI47" s="140">
        <f>+AG41</f>
        <v>0</v>
      </c>
      <c r="AJ47" s="129"/>
    </row>
    <row r="48" spans="1:36" s="127" customFormat="1" ht="15.75" x14ac:dyDescent="0.25">
      <c r="A48" s="128"/>
      <c r="B48" s="129"/>
      <c r="C48" s="129"/>
      <c r="D48" s="129"/>
      <c r="E48" s="129"/>
      <c r="F48" s="130"/>
      <c r="G48" s="128"/>
      <c r="H48" s="129"/>
      <c r="I48" s="129"/>
      <c r="J48" s="129"/>
      <c r="K48" s="129"/>
      <c r="L48" s="130"/>
      <c r="M48" s="128"/>
      <c r="N48" s="129"/>
      <c r="O48" s="129"/>
      <c r="P48" s="129"/>
      <c r="Q48" s="129"/>
      <c r="R48" s="130"/>
      <c r="S48" s="128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29"/>
      <c r="AJ48" s="129"/>
    </row>
    <row r="49" spans="1:36" s="127" customFormat="1" ht="15.75" x14ac:dyDescent="0.25">
      <c r="A49" s="128" t="s">
        <v>22</v>
      </c>
      <c r="B49" s="129"/>
      <c r="C49" s="129"/>
      <c r="D49" s="129"/>
      <c r="E49" s="129"/>
      <c r="F49" s="146">
        <f>(E45/E47)</f>
        <v>-0.1472437973114048</v>
      </c>
      <c r="G49" s="128" t="s">
        <v>22</v>
      </c>
      <c r="H49" s="129"/>
      <c r="I49" s="129"/>
      <c r="J49" s="129"/>
      <c r="K49" s="129"/>
      <c r="L49" s="146">
        <f>(K45/K47)</f>
        <v>0.29984405412530568</v>
      </c>
      <c r="M49" s="128" t="s">
        <v>22</v>
      </c>
      <c r="N49" s="129"/>
      <c r="O49" s="129"/>
      <c r="P49" s="129"/>
      <c r="Q49" s="129"/>
      <c r="R49" s="146">
        <f>(Q45/Q47)</f>
        <v>-3.7179125106640898E-2</v>
      </c>
      <c r="S49" s="128" t="s">
        <v>22</v>
      </c>
      <c r="T49" s="129"/>
      <c r="U49" s="129"/>
      <c r="V49" s="129"/>
      <c r="W49" s="129"/>
      <c r="X49" s="218">
        <v>0</v>
      </c>
      <c r="Y49" s="129" t="s">
        <v>22</v>
      </c>
      <c r="Z49" s="129"/>
      <c r="AA49" s="129"/>
      <c r="AB49" s="129"/>
      <c r="AC49" s="129"/>
      <c r="AD49" s="215" t="e">
        <f>(AC45/AC47)</f>
        <v>#DIV/0!</v>
      </c>
      <c r="AE49" s="129" t="s">
        <v>22</v>
      </c>
      <c r="AF49" s="129"/>
      <c r="AG49" s="129"/>
      <c r="AH49" s="129"/>
      <c r="AI49" s="129"/>
      <c r="AJ49" s="215" t="e">
        <f>(AI45/AI47)</f>
        <v>#DIV/0!</v>
      </c>
    </row>
    <row r="50" spans="1:36" s="127" customFormat="1" ht="15.75" x14ac:dyDescent="0.25">
      <c r="A50" s="128"/>
      <c r="B50" s="129"/>
      <c r="C50" s="129"/>
      <c r="D50" s="129"/>
      <c r="E50" s="140"/>
      <c r="F50" s="130"/>
      <c r="G50" s="128"/>
      <c r="H50" s="129"/>
      <c r="I50" s="129"/>
      <c r="J50" s="129"/>
      <c r="K50" s="140"/>
      <c r="L50" s="130"/>
      <c r="M50" s="128"/>
      <c r="N50" s="129"/>
      <c r="O50" s="129"/>
      <c r="P50" s="129"/>
      <c r="Q50" s="140"/>
      <c r="R50" s="130"/>
      <c r="S50" s="128"/>
      <c r="T50" s="129"/>
      <c r="U50" s="129"/>
      <c r="V50" s="129"/>
      <c r="W50" s="140"/>
      <c r="X50" s="129"/>
      <c r="Y50" s="129"/>
      <c r="Z50" s="129"/>
      <c r="AA50" s="129"/>
      <c r="AB50" s="129"/>
      <c r="AC50" s="140"/>
      <c r="AD50" s="129"/>
      <c r="AE50" s="129"/>
      <c r="AF50" s="129"/>
      <c r="AG50" s="129"/>
      <c r="AH50" s="129"/>
      <c r="AI50" s="140"/>
      <c r="AJ50" s="129"/>
    </row>
    <row r="51" spans="1:36" s="127" customFormat="1" ht="15.75" x14ac:dyDescent="0.25">
      <c r="A51" s="133" t="str">
        <f>A23</f>
        <v>Projected Revenue April 2023 -September 2023</v>
      </c>
      <c r="B51" s="134"/>
      <c r="C51" s="129"/>
      <c r="D51" s="129"/>
      <c r="E51" s="148">
        <f>E43</f>
        <v>-1811.9511465850208</v>
      </c>
      <c r="F51" s="130"/>
      <c r="G51" s="133" t="str">
        <f>G23</f>
        <v>Projected Revenue September 2022 -August 2023</v>
      </c>
      <c r="H51" s="134"/>
      <c r="I51" s="129"/>
      <c r="J51" s="129"/>
      <c r="K51" s="148">
        <f>K43</f>
        <v>-2137</v>
      </c>
      <c r="L51" s="130"/>
      <c r="M51" s="133" t="str">
        <f>M23</f>
        <v>Projected Revenue October 2021-September 2022</v>
      </c>
      <c r="N51" s="134"/>
      <c r="O51" s="129"/>
      <c r="P51" s="129"/>
      <c r="Q51" s="148">
        <f>Q43</f>
        <v>-3471.3843485718762</v>
      </c>
      <c r="R51" s="130"/>
      <c r="S51" s="133" t="str">
        <f>S23</f>
        <v>Projected Revenue October 2020-September 2021</v>
      </c>
      <c r="T51" s="134"/>
      <c r="U51" s="129"/>
      <c r="V51" s="129"/>
      <c r="W51" s="148">
        <f>W43</f>
        <v>-5192.804542497799</v>
      </c>
      <c r="X51" s="129"/>
      <c r="Y51" s="150" t="str">
        <f>Y23</f>
        <v>Projected Revenue October 2019-September 2020</v>
      </c>
      <c r="Z51" s="150"/>
      <c r="AA51" s="129"/>
      <c r="AB51" s="129"/>
      <c r="AC51" s="163">
        <f>AC43</f>
        <v>0</v>
      </c>
      <c r="AD51" s="129"/>
      <c r="AE51" s="150" t="str">
        <f>AE23</f>
        <v>Projected Revenue October 2018-September 2019</v>
      </c>
      <c r="AF51" s="150"/>
      <c r="AG51" s="129"/>
      <c r="AH51" s="129"/>
      <c r="AI51" s="163">
        <f>+AI43</f>
        <v>0</v>
      </c>
      <c r="AJ51" s="129"/>
    </row>
    <row r="52" spans="1:36" s="127" customFormat="1" ht="15.75" x14ac:dyDescent="0.25">
      <c r="A52" s="128" t="s">
        <v>78</v>
      </c>
      <c r="B52" s="129"/>
      <c r="C52" s="129"/>
      <c r="D52" s="129"/>
      <c r="E52" s="140">
        <f>C41</f>
        <v>2461.4499999999998</v>
      </c>
      <c r="F52" s="130"/>
      <c r="G52" s="128" t="s">
        <v>78</v>
      </c>
      <c r="H52" s="129"/>
      <c r="I52" s="129"/>
      <c r="J52" s="129"/>
      <c r="K52" s="140">
        <f>I41</f>
        <v>4817.26</v>
      </c>
      <c r="L52" s="130"/>
      <c r="M52" s="128" t="s">
        <v>78</v>
      </c>
      <c r="N52" s="129"/>
      <c r="O52" s="129"/>
      <c r="P52" s="129"/>
      <c r="Q52" s="140">
        <f>O41</f>
        <v>4728.3600000000006</v>
      </c>
      <c r="R52" s="130"/>
      <c r="S52" s="128" t="s">
        <v>78</v>
      </c>
      <c r="T52" s="129"/>
      <c r="U52" s="129"/>
      <c r="V52" s="129"/>
      <c r="W52" s="140">
        <f>U41</f>
        <v>5587.7999999999993</v>
      </c>
      <c r="X52" s="129"/>
      <c r="Y52" s="129" t="s">
        <v>21</v>
      </c>
      <c r="Z52" s="129"/>
      <c r="AA52" s="129"/>
      <c r="AB52" s="129"/>
      <c r="AC52" s="140">
        <f>AA41</f>
        <v>0</v>
      </c>
      <c r="AD52" s="129"/>
      <c r="AE52" s="129" t="s">
        <v>21</v>
      </c>
      <c r="AF52" s="129"/>
      <c r="AG52" s="129"/>
      <c r="AH52" s="129"/>
      <c r="AI52" s="140">
        <f>AI47</f>
        <v>0</v>
      </c>
      <c r="AJ52" s="129"/>
    </row>
    <row r="53" spans="1:36" s="127" customFormat="1" ht="18" x14ac:dyDescent="0.4">
      <c r="A53" s="128" t="s">
        <v>24</v>
      </c>
      <c r="B53" s="129"/>
      <c r="C53" s="129"/>
      <c r="D53" s="129"/>
      <c r="E53" s="129"/>
      <c r="F53" s="154">
        <f>(E51/E52)</f>
        <v>-0.73613160802982835</v>
      </c>
      <c r="G53" s="128" t="s">
        <v>24</v>
      </c>
      <c r="H53" s="129"/>
      <c r="I53" s="129"/>
      <c r="J53" s="129"/>
      <c r="K53" s="129"/>
      <c r="L53" s="154">
        <f>(K51/K52)</f>
        <v>-0.4436131742941008</v>
      </c>
      <c r="M53" s="128" t="s">
        <v>24</v>
      </c>
      <c r="N53" s="129"/>
      <c r="O53" s="129"/>
      <c r="P53" s="129"/>
      <c r="Q53" s="129"/>
      <c r="R53" s="154">
        <f>(Q51/Q52)</f>
        <v>-0.73416244714274626</v>
      </c>
      <c r="S53" s="128" t="s">
        <v>24</v>
      </c>
      <c r="T53" s="129"/>
      <c r="U53" s="129"/>
      <c r="V53" s="129"/>
      <c r="W53" s="129"/>
      <c r="X53" s="216">
        <f>(W51/W52)</f>
        <v>-0.92931109604814055</v>
      </c>
      <c r="Y53" s="129" t="s">
        <v>24</v>
      </c>
      <c r="Z53" s="129"/>
      <c r="AA53" s="129"/>
      <c r="AB53" s="129"/>
      <c r="AC53" s="129"/>
      <c r="AD53" s="224" t="e">
        <f>(AC51/AC52)/0.5*0.72395</f>
        <v>#DIV/0!</v>
      </c>
      <c r="AE53" s="129" t="s">
        <v>24</v>
      </c>
      <c r="AF53" s="129"/>
      <c r="AG53" s="129"/>
      <c r="AH53" s="129"/>
      <c r="AI53" s="129"/>
      <c r="AJ53" s="224" t="e">
        <f>(AI51/AI52)</f>
        <v>#DIV/0!</v>
      </c>
    </row>
    <row r="54" spans="1:36" s="127" customFormat="1" ht="15.75" x14ac:dyDescent="0.25">
      <c r="A54" s="128"/>
      <c r="B54" s="129"/>
      <c r="C54" s="129"/>
      <c r="D54" s="129"/>
      <c r="E54" s="129"/>
      <c r="F54" s="130"/>
      <c r="G54" s="128"/>
      <c r="H54" s="129"/>
      <c r="I54" s="129"/>
      <c r="J54" s="129"/>
      <c r="K54" s="129"/>
      <c r="L54" s="130"/>
      <c r="M54" s="128"/>
      <c r="N54" s="129"/>
      <c r="O54" s="129"/>
      <c r="P54" s="129"/>
      <c r="Q54" s="129"/>
      <c r="R54" s="130"/>
      <c r="S54" s="128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</row>
    <row r="55" spans="1:36" s="127" customFormat="1" ht="16.5" thickBot="1" x14ac:dyDescent="0.3">
      <c r="A55" s="144" t="s">
        <v>31</v>
      </c>
      <c r="B55" s="150"/>
      <c r="C55" s="129"/>
      <c r="D55" s="129"/>
      <c r="E55" s="129"/>
      <c r="F55" s="155">
        <f>+F53+F49</f>
        <v>-0.88337540534123316</v>
      </c>
      <c r="G55" s="144" t="s">
        <v>31</v>
      </c>
      <c r="H55" s="150"/>
      <c r="I55" s="129"/>
      <c r="J55" s="129"/>
      <c r="K55" s="129"/>
      <c r="L55" s="155">
        <f>+L53+L49</f>
        <v>-0.14376912016879512</v>
      </c>
      <c r="M55" s="144" t="s">
        <v>31</v>
      </c>
      <c r="N55" s="150"/>
      <c r="O55" s="129"/>
      <c r="P55" s="129"/>
      <c r="Q55" s="129"/>
      <c r="R55" s="155">
        <f>+R53+R49</f>
        <v>-0.77134157224938715</v>
      </c>
      <c r="S55" s="144" t="s">
        <v>31</v>
      </c>
      <c r="T55" s="150"/>
      <c r="U55" s="129"/>
      <c r="V55" s="129"/>
      <c r="W55" s="129"/>
      <c r="X55" s="219">
        <f>+X53+X49</f>
        <v>-0.92931109604814055</v>
      </c>
      <c r="Y55" s="150" t="s">
        <v>31</v>
      </c>
      <c r="Z55" s="150"/>
      <c r="AA55" s="129"/>
      <c r="AB55" s="129"/>
      <c r="AC55" s="129"/>
      <c r="AD55" s="156" t="e">
        <f>+AD53+AD49</f>
        <v>#DIV/0!</v>
      </c>
      <c r="AE55" s="150" t="s">
        <v>31</v>
      </c>
      <c r="AF55" s="150"/>
      <c r="AG55" s="129"/>
      <c r="AH55" s="129"/>
      <c r="AI55" s="129"/>
      <c r="AJ55" s="156" t="e">
        <f>+AJ53+AJ49</f>
        <v>#DIV/0!</v>
      </c>
    </row>
    <row r="56" spans="1:36" s="127" customFormat="1" ht="16.5" thickTop="1" x14ac:dyDescent="0.25">
      <c r="A56" s="136"/>
      <c r="B56" s="150"/>
      <c r="C56" s="129"/>
      <c r="D56" s="129"/>
      <c r="E56" s="129"/>
      <c r="F56" s="157"/>
      <c r="G56" s="136"/>
      <c r="H56" s="150"/>
      <c r="I56" s="129"/>
      <c r="J56" s="129"/>
      <c r="K56" s="129"/>
      <c r="L56" s="157"/>
      <c r="M56" s="136"/>
      <c r="N56" s="150"/>
      <c r="O56" s="129"/>
      <c r="P56" s="129"/>
      <c r="Q56" s="129"/>
      <c r="R56" s="157"/>
      <c r="S56" s="136"/>
      <c r="T56" s="150"/>
      <c r="U56" s="129"/>
      <c r="V56" s="129"/>
      <c r="W56" s="129"/>
      <c r="X56" s="156"/>
      <c r="Y56" s="222" t="s">
        <v>26</v>
      </c>
      <c r="Z56" s="150"/>
      <c r="AA56" s="129"/>
      <c r="AB56" s="129"/>
      <c r="AC56" s="129"/>
      <c r="AD56" s="156"/>
      <c r="AE56" s="222" t="s">
        <v>26</v>
      </c>
      <c r="AF56" s="150"/>
      <c r="AG56" s="129"/>
      <c r="AH56" s="225"/>
      <c r="AI56" s="129"/>
      <c r="AJ56" s="156">
        <v>0</v>
      </c>
    </row>
    <row r="57" spans="1:36" s="127" customFormat="1" ht="15.75" x14ac:dyDescent="0.25">
      <c r="A57" s="128"/>
      <c r="B57" s="129"/>
      <c r="C57" s="129"/>
      <c r="D57" s="129"/>
      <c r="E57" s="129"/>
      <c r="F57" s="130"/>
      <c r="G57" s="128"/>
      <c r="H57" s="129"/>
      <c r="I57" s="129"/>
      <c r="J57" s="129"/>
      <c r="K57" s="129"/>
      <c r="L57" s="130"/>
      <c r="M57" s="128"/>
      <c r="N57" s="129"/>
      <c r="O57" s="129"/>
      <c r="P57" s="129"/>
      <c r="Q57" s="129"/>
      <c r="R57" s="130"/>
      <c r="S57" s="128"/>
      <c r="T57" s="129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129"/>
      <c r="AG57" s="129"/>
      <c r="AH57" s="129"/>
      <c r="AI57" s="129"/>
      <c r="AJ57" s="129"/>
    </row>
    <row r="58" spans="1:36" s="127" customFormat="1" ht="16.5" thickBot="1" x14ac:dyDescent="0.3">
      <c r="A58" s="164"/>
      <c r="B58" s="165"/>
      <c r="C58" s="165"/>
      <c r="D58" s="165"/>
      <c r="E58" s="165"/>
      <c r="F58" s="166"/>
      <c r="G58" s="164"/>
      <c r="H58" s="165"/>
      <c r="I58" s="165"/>
      <c r="J58" s="165"/>
      <c r="K58" s="165"/>
      <c r="L58" s="166"/>
      <c r="M58" s="164"/>
      <c r="N58" s="165"/>
      <c r="O58" s="165"/>
      <c r="P58" s="165"/>
      <c r="Q58" s="165"/>
      <c r="R58" s="166"/>
      <c r="S58" s="164"/>
      <c r="T58" s="165"/>
      <c r="U58" s="165"/>
      <c r="V58" s="165"/>
      <c r="W58" s="165"/>
      <c r="X58" s="220"/>
      <c r="Y58" s="222" t="s">
        <v>27</v>
      </c>
      <c r="Z58" s="129"/>
      <c r="AA58" s="129"/>
      <c r="AB58" s="129"/>
      <c r="AC58" s="129"/>
      <c r="AD58" s="156" t="e">
        <f>SUM(AD55:AD57)</f>
        <v>#DIV/0!</v>
      </c>
      <c r="AE58" s="222" t="s">
        <v>27</v>
      </c>
      <c r="AF58" s="129"/>
      <c r="AG58" s="129"/>
      <c r="AH58" s="225"/>
      <c r="AI58" s="129"/>
      <c r="AJ58" s="156" t="e">
        <f>SUM(AJ55:AJ57)</f>
        <v>#DIV/0!</v>
      </c>
    </row>
    <row r="59" spans="1:36" s="127" customFormat="1" ht="15.75" x14ac:dyDescent="0.25">
      <c r="A59" s="235" t="s">
        <v>131</v>
      </c>
      <c r="B59" s="236"/>
      <c r="C59" s="236"/>
      <c r="D59" s="236"/>
      <c r="E59" s="236"/>
      <c r="F59" s="237"/>
      <c r="G59" s="233" t="s">
        <v>28</v>
      </c>
      <c r="H59" s="231"/>
      <c r="I59" s="231"/>
      <c r="J59" s="231"/>
      <c r="K59" s="231"/>
      <c r="L59" s="234"/>
      <c r="M59" s="233" t="s">
        <v>28</v>
      </c>
      <c r="N59" s="231"/>
      <c r="O59" s="231"/>
      <c r="P59" s="231"/>
      <c r="Q59" s="231"/>
      <c r="R59" s="234"/>
      <c r="S59" s="233" t="s">
        <v>28</v>
      </c>
      <c r="T59" s="231"/>
      <c r="U59" s="231"/>
      <c r="V59" s="231"/>
      <c r="W59" s="231"/>
      <c r="X59" s="234"/>
    </row>
    <row r="60" spans="1:36" s="127" customFormat="1" ht="15.75" x14ac:dyDescent="0.25">
      <c r="A60" s="128"/>
      <c r="B60" s="129"/>
      <c r="C60" s="129"/>
      <c r="D60" s="129"/>
      <c r="E60" s="129"/>
      <c r="F60" s="130"/>
      <c r="G60" s="128"/>
      <c r="H60" s="129"/>
      <c r="I60" s="129"/>
      <c r="J60" s="129"/>
      <c r="K60" s="129"/>
      <c r="L60" s="130"/>
      <c r="M60" s="128"/>
      <c r="N60" s="129"/>
      <c r="O60" s="129"/>
      <c r="P60" s="129"/>
      <c r="Q60" s="129"/>
      <c r="R60" s="130"/>
      <c r="S60" s="128"/>
      <c r="T60" s="129"/>
      <c r="U60" s="129"/>
      <c r="V60" s="129"/>
      <c r="W60" s="129"/>
      <c r="X60" s="129"/>
    </row>
    <row r="61" spans="1:36" s="127" customFormat="1" ht="15.75" x14ac:dyDescent="0.25">
      <c r="A61" s="128"/>
      <c r="B61" s="129"/>
      <c r="C61" s="131"/>
      <c r="D61" s="131" t="s">
        <v>8</v>
      </c>
      <c r="E61" s="131" t="s">
        <v>9</v>
      </c>
      <c r="F61" s="130"/>
      <c r="G61" s="128"/>
      <c r="H61" s="129"/>
      <c r="I61" s="131"/>
      <c r="J61" s="131" t="s">
        <v>8</v>
      </c>
      <c r="K61" s="131" t="s">
        <v>9</v>
      </c>
      <c r="L61" s="130"/>
      <c r="M61" s="128"/>
      <c r="N61" s="129"/>
      <c r="O61" s="131"/>
      <c r="P61" s="131" t="s">
        <v>8</v>
      </c>
      <c r="Q61" s="131" t="s">
        <v>9</v>
      </c>
      <c r="R61" s="130"/>
      <c r="S61" s="128"/>
      <c r="T61" s="129"/>
      <c r="U61" s="131"/>
      <c r="V61" s="131" t="s">
        <v>8</v>
      </c>
      <c r="W61" s="131" t="s">
        <v>9</v>
      </c>
      <c r="X61" s="129"/>
    </row>
    <row r="62" spans="1:36" s="127" customFormat="1" ht="15.75" x14ac:dyDescent="0.25">
      <c r="A62" s="128"/>
      <c r="B62" s="129"/>
      <c r="C62" s="159" t="s">
        <v>79</v>
      </c>
      <c r="D62" s="159" t="s">
        <v>11</v>
      </c>
      <c r="E62" s="159" t="s">
        <v>12</v>
      </c>
      <c r="F62" s="130"/>
      <c r="G62" s="128"/>
      <c r="H62" s="129"/>
      <c r="I62" s="159" t="s">
        <v>79</v>
      </c>
      <c r="J62" s="159" t="s">
        <v>11</v>
      </c>
      <c r="K62" s="159" t="s">
        <v>12</v>
      </c>
      <c r="L62" s="130"/>
      <c r="M62" s="128"/>
      <c r="N62" s="129"/>
      <c r="O62" s="159" t="s">
        <v>79</v>
      </c>
      <c r="P62" s="159" t="s">
        <v>11</v>
      </c>
      <c r="Q62" s="159" t="s">
        <v>12</v>
      </c>
      <c r="R62" s="130"/>
      <c r="S62" s="128"/>
      <c r="T62" s="129"/>
      <c r="U62" s="159" t="s">
        <v>79</v>
      </c>
      <c r="V62" s="159" t="s">
        <v>11</v>
      </c>
      <c r="W62" s="159" t="s">
        <v>12</v>
      </c>
      <c r="X62" s="129"/>
    </row>
    <row r="63" spans="1:36" s="127" customFormat="1" ht="15.75" x14ac:dyDescent="0.25">
      <c r="A63" s="133" t="str">
        <f>+A38</f>
        <v>Projected Expense July 2022-December 2022</v>
      </c>
      <c r="B63" s="134"/>
      <c r="C63" s="135"/>
      <c r="D63" s="135"/>
      <c r="E63" s="135"/>
      <c r="F63" s="130"/>
      <c r="G63" s="133" t="str">
        <f>+G38</f>
        <v>Projected Revenue July 2021-June 2022</v>
      </c>
      <c r="H63" s="134"/>
      <c r="I63" s="135"/>
      <c r="J63" s="135"/>
      <c r="K63" s="135"/>
      <c r="L63" s="130"/>
      <c r="M63" s="133" t="str">
        <f>+M38</f>
        <v>Projected Revenue July 2019-June 2020</v>
      </c>
      <c r="N63" s="134"/>
      <c r="O63" s="135"/>
      <c r="P63" s="135"/>
      <c r="Q63" s="135"/>
      <c r="R63" s="130"/>
      <c r="S63" s="133" t="str">
        <f>+S38</f>
        <v>Projected Revenue July 2019-June 2020</v>
      </c>
      <c r="T63" s="134"/>
      <c r="U63" s="135"/>
      <c r="V63" s="135"/>
      <c r="W63" s="135"/>
      <c r="X63" s="129"/>
    </row>
    <row r="64" spans="1:36" s="127" customFormat="1" ht="15.75" x14ac:dyDescent="0.25">
      <c r="A64" s="128" t="str">
        <f>+A39</f>
        <v>Jul 22-Sep 22 projected value without adjustment factor</v>
      </c>
      <c r="B64" s="129"/>
      <c r="C64" s="137">
        <f>('Cust-PickUps'!E14+'Cust-PickUps'!E15)*3</f>
        <v>574.84500000000003</v>
      </c>
      <c r="D64" s="138">
        <f>J65</f>
        <v>-2.6991266439071553</v>
      </c>
      <c r="E64" s="140">
        <f>C64*D64</f>
        <v>-1551.5794556168087</v>
      </c>
      <c r="F64" s="130"/>
      <c r="G64" s="128" t="str">
        <f>+G39</f>
        <v>Jul-Sep projected value without adjustment factor</v>
      </c>
      <c r="H64" s="129"/>
      <c r="I64" s="137">
        <f>+(+'Cust-PickUps'!O14+'Cust-PickUps'!O15)*3</f>
        <v>555.35249999999996</v>
      </c>
      <c r="J64" s="138">
        <f>+J39</f>
        <v>-0.77134157224938715</v>
      </c>
      <c r="K64" s="140">
        <f>I64*J64</f>
        <v>-428.36647050262775</v>
      </c>
      <c r="L64" s="130"/>
      <c r="M64" s="128" t="str">
        <f>+M39</f>
        <v>Jul-Sep projected value without adjustment factor</v>
      </c>
      <c r="N64" s="129"/>
      <c r="O64" s="137">
        <f>+(+'Cust-PickUps'!AK14+'Cust-PickUps'!AK15)*3</f>
        <v>545.58000000000004</v>
      </c>
      <c r="P64" s="138">
        <f>+P39</f>
        <v>0</v>
      </c>
      <c r="Q64" s="140">
        <f>O64*P64</f>
        <v>0</v>
      </c>
      <c r="R64" s="130"/>
      <c r="S64" s="128" t="str">
        <f>+S39</f>
        <v>Jul-Sep projected value without adjustment factor</v>
      </c>
      <c r="T64" s="129"/>
      <c r="U64" s="140">
        <f>+(+'Cust-PickUps'!AW14+'Cust-PickUps'!AW15)*3</f>
        <v>155.94</v>
      </c>
      <c r="V64" s="138">
        <f>+V39</f>
        <v>0</v>
      </c>
      <c r="W64" s="140">
        <f>U64*V64</f>
        <v>0</v>
      </c>
      <c r="X64" s="129"/>
    </row>
    <row r="65" spans="1:24" s="127" customFormat="1" ht="18" x14ac:dyDescent="0.4">
      <c r="A65" s="128" t="str">
        <f>+A40</f>
        <v>Oct 22-Dec 22 projected value without adjustment factor</v>
      </c>
      <c r="B65" s="129"/>
      <c r="C65" s="188">
        <f>C64</f>
        <v>574.84500000000003</v>
      </c>
      <c r="D65" s="138">
        <f>L78</f>
        <v>-1.6313962753386364</v>
      </c>
      <c r="E65" s="143">
        <f>C65*D65</f>
        <v>-937.79999189703847</v>
      </c>
      <c r="F65" s="130"/>
      <c r="G65" s="128" t="str">
        <f>+G40</f>
        <v>Oct-Jun projected value without adjustment factor</v>
      </c>
      <c r="H65" s="129"/>
      <c r="I65" s="141">
        <f>+(+'Cust-PickUps'!O14+'Cust-PickUps'!O15)*9</f>
        <v>1666.0575000000001</v>
      </c>
      <c r="J65" s="160">
        <f>R78</f>
        <v>-2.6991266439071553</v>
      </c>
      <c r="K65" s="143">
        <f>I65*J65</f>
        <v>-4496.9001885313455</v>
      </c>
      <c r="L65" s="130"/>
      <c r="M65" s="128" t="str">
        <f>+M40</f>
        <v>Oct-Jun projected value without adjustment factor</v>
      </c>
      <c r="N65" s="129"/>
      <c r="O65" s="141">
        <f>+(+'Cust-PickUps'!AK14+'Cust-PickUps'!AK15)*9</f>
        <v>1636.7400000000002</v>
      </c>
      <c r="P65" s="160">
        <f>X78</f>
        <v>-3.4165849119416931</v>
      </c>
      <c r="Q65" s="143">
        <f>O65*P65</f>
        <v>-5592.0611887714476</v>
      </c>
      <c r="R65" s="130"/>
      <c r="S65" s="128" t="str">
        <f>+S40</f>
        <v>Oct-Jun projected value without adjustment factor</v>
      </c>
      <c r="T65" s="129"/>
      <c r="U65" s="143">
        <f>+(+'Cust-PickUps'!AW14+'Cust-PickUps'!AW15)*9</f>
        <v>467.82</v>
      </c>
      <c r="V65" s="138">
        <f>+V40</f>
        <v>0</v>
      </c>
      <c r="W65" s="143">
        <f>U65*V65</f>
        <v>0</v>
      </c>
      <c r="X65" s="129"/>
    </row>
    <row r="66" spans="1:24" s="127" customFormat="1" ht="15.75" x14ac:dyDescent="0.25">
      <c r="A66" s="128" t="s">
        <v>9</v>
      </c>
      <c r="B66" s="129"/>
      <c r="C66" s="137">
        <f>SUM(C64:C65)</f>
        <v>1149.69</v>
      </c>
      <c r="D66" s="129"/>
      <c r="E66" s="140">
        <f>+E65+E64</f>
        <v>-2489.379447513847</v>
      </c>
      <c r="F66" s="130"/>
      <c r="G66" s="128" t="s">
        <v>9</v>
      </c>
      <c r="H66" s="129"/>
      <c r="I66" s="137">
        <f>SUM(I64:I65)</f>
        <v>2221.41</v>
      </c>
      <c r="J66" s="129"/>
      <c r="K66" s="140">
        <f>+K65+K64</f>
        <v>-4925.2666590339732</v>
      </c>
      <c r="L66" s="130"/>
      <c r="M66" s="128" t="s">
        <v>9</v>
      </c>
      <c r="N66" s="129"/>
      <c r="O66" s="137">
        <f>SUM(O64:O65)</f>
        <v>2182.3200000000002</v>
      </c>
      <c r="P66" s="129"/>
      <c r="Q66" s="140">
        <f>+Q65+Q64</f>
        <v>-5592.0611887714476</v>
      </c>
      <c r="R66" s="130"/>
      <c r="S66" s="128" t="s">
        <v>9</v>
      </c>
      <c r="T66" s="129"/>
      <c r="U66" s="140">
        <f>SUM(U64:U65)</f>
        <v>623.76</v>
      </c>
      <c r="V66" s="129"/>
      <c r="W66" s="140">
        <f>+W65+W64</f>
        <v>0</v>
      </c>
      <c r="X66" s="129"/>
    </row>
    <row r="67" spans="1:24" s="127" customFormat="1" ht="15.75" x14ac:dyDescent="0.25">
      <c r="A67" s="128"/>
      <c r="B67" s="129"/>
      <c r="C67" s="129"/>
      <c r="D67" s="129"/>
      <c r="E67" s="129"/>
      <c r="F67" s="130"/>
      <c r="G67" s="128"/>
      <c r="H67" s="129"/>
      <c r="I67" s="129"/>
      <c r="J67" s="129"/>
      <c r="K67" s="129"/>
      <c r="L67" s="130"/>
      <c r="M67" s="128"/>
      <c r="N67" s="129"/>
      <c r="O67" s="129"/>
      <c r="P67" s="129"/>
      <c r="Q67" s="129"/>
      <c r="R67" s="130"/>
      <c r="S67" s="128"/>
      <c r="T67" s="129"/>
      <c r="U67" s="129"/>
      <c r="V67" s="129"/>
      <c r="W67" s="129"/>
      <c r="X67" s="129"/>
    </row>
    <row r="68" spans="1:24" s="127" customFormat="1" ht="15.75" x14ac:dyDescent="0.25">
      <c r="A68" s="128" t="str">
        <f>A43</f>
        <v>Actual Commodity Revenue/(Expense)</v>
      </c>
      <c r="B68" s="129"/>
      <c r="C68" s="129"/>
      <c r="D68" s="129"/>
      <c r="E68" s="137">
        <f>-Data!P20</f>
        <v>-2142.8353213443911</v>
      </c>
      <c r="F68" s="130"/>
      <c r="G68" s="128" t="s">
        <v>30</v>
      </c>
      <c r="H68" s="129"/>
      <c r="I68" s="129"/>
      <c r="J68" s="129"/>
      <c r="K68" s="137">
        <v>-3624</v>
      </c>
      <c r="L68" s="130"/>
      <c r="M68" s="128" t="s">
        <v>30</v>
      </c>
      <c r="N68" s="129"/>
      <c r="O68" s="129"/>
      <c r="P68" s="129"/>
      <c r="Q68" s="137">
        <f>-Data!AB20</f>
        <v>-5890.3580575314636</v>
      </c>
      <c r="R68" s="130"/>
      <c r="S68" s="128" t="s">
        <v>30</v>
      </c>
      <c r="T68" s="129"/>
      <c r="U68" s="129"/>
      <c r="V68" s="129"/>
      <c r="W68" s="139">
        <f>-Data!AL20</f>
        <v>-2131.1290046727504</v>
      </c>
      <c r="X68" s="129"/>
    </row>
    <row r="69" spans="1:24" s="127" customFormat="1" ht="15.75" x14ac:dyDescent="0.25">
      <c r="A69" s="128"/>
      <c r="B69" s="129"/>
      <c r="C69" s="129"/>
      <c r="D69" s="129"/>
      <c r="E69" s="129"/>
      <c r="F69" s="130"/>
      <c r="G69" s="128"/>
      <c r="H69" s="129"/>
      <c r="I69" s="129"/>
      <c r="J69" s="129"/>
      <c r="K69" s="129"/>
      <c r="L69" s="130"/>
      <c r="M69" s="128"/>
      <c r="N69" s="129"/>
      <c r="O69" s="129"/>
      <c r="P69" s="129"/>
      <c r="Q69" s="129"/>
      <c r="R69" s="130"/>
      <c r="S69" s="128"/>
      <c r="T69" s="129"/>
      <c r="U69" s="129"/>
      <c r="V69" s="129"/>
      <c r="W69" s="129"/>
      <c r="X69" s="129"/>
    </row>
    <row r="70" spans="1:24" s="127" customFormat="1" ht="15.75" x14ac:dyDescent="0.25">
      <c r="A70" s="128" t="s">
        <v>20</v>
      </c>
      <c r="B70" s="129"/>
      <c r="C70" s="129"/>
      <c r="D70" s="129"/>
      <c r="E70" s="140">
        <f>E68-E66</f>
        <v>346.54412616945592</v>
      </c>
      <c r="F70" s="130"/>
      <c r="G70" s="128" t="s">
        <v>20</v>
      </c>
      <c r="H70" s="129"/>
      <c r="I70" s="129"/>
      <c r="J70" s="129"/>
      <c r="K70" s="140">
        <f>K68-K66</f>
        <v>1301.2666590339732</v>
      </c>
      <c r="L70" s="130"/>
      <c r="M70" s="128" t="s">
        <v>20</v>
      </c>
      <c r="N70" s="129"/>
      <c r="O70" s="129"/>
      <c r="P70" s="129"/>
      <c r="Q70" s="140">
        <f>Q68-Q66</f>
        <v>-298.29686876001597</v>
      </c>
      <c r="R70" s="130"/>
      <c r="S70" s="128" t="s">
        <v>20</v>
      </c>
      <c r="T70" s="129"/>
      <c r="U70" s="129"/>
      <c r="V70" s="129"/>
      <c r="W70" s="145">
        <v>0</v>
      </c>
      <c r="X70" s="129"/>
    </row>
    <row r="71" spans="1:24" s="127" customFormat="1" ht="15.75" x14ac:dyDescent="0.25">
      <c r="A71" s="128"/>
      <c r="B71" s="129"/>
      <c r="C71" s="129"/>
      <c r="D71" s="129"/>
      <c r="E71" s="129"/>
      <c r="F71" s="130"/>
      <c r="G71" s="128"/>
      <c r="H71" s="129"/>
      <c r="I71" s="129"/>
      <c r="J71" s="129"/>
      <c r="K71" s="129"/>
      <c r="L71" s="130"/>
      <c r="M71" s="128"/>
      <c r="N71" s="129"/>
      <c r="O71" s="129"/>
      <c r="P71" s="129"/>
      <c r="Q71" s="129"/>
      <c r="R71" s="130"/>
      <c r="S71" s="128"/>
      <c r="T71" s="129"/>
      <c r="U71" s="129"/>
      <c r="V71" s="129"/>
      <c r="W71" s="129"/>
      <c r="X71" s="129"/>
    </row>
    <row r="72" spans="1:24" s="127" customFormat="1" ht="15.75" x14ac:dyDescent="0.25">
      <c r="A72" s="128" t="s">
        <v>78</v>
      </c>
      <c r="B72" s="129"/>
      <c r="C72" s="129"/>
      <c r="D72" s="129"/>
      <c r="E72" s="153">
        <f>+C66</f>
        <v>1149.69</v>
      </c>
      <c r="F72" s="130"/>
      <c r="G72" s="128" t="s">
        <v>78</v>
      </c>
      <c r="H72" s="129"/>
      <c r="I72" s="129"/>
      <c r="J72" s="129"/>
      <c r="K72" s="153">
        <f>+I66</f>
        <v>2221.41</v>
      </c>
      <c r="L72" s="130"/>
      <c r="M72" s="128" t="s">
        <v>78</v>
      </c>
      <c r="N72" s="129"/>
      <c r="O72" s="129"/>
      <c r="P72" s="129"/>
      <c r="Q72" s="153">
        <f>+O66</f>
        <v>2182.3200000000002</v>
      </c>
      <c r="R72" s="130"/>
      <c r="S72" s="128" t="s">
        <v>78</v>
      </c>
      <c r="T72" s="129"/>
      <c r="U72" s="129"/>
      <c r="V72" s="129"/>
      <c r="W72" s="162">
        <v>0</v>
      </c>
      <c r="X72" s="129"/>
    </row>
    <row r="73" spans="1:24" s="127" customFormat="1" ht="15.75" x14ac:dyDescent="0.25">
      <c r="A73" s="128"/>
      <c r="B73" s="129"/>
      <c r="C73" s="129"/>
      <c r="D73" s="129"/>
      <c r="E73" s="129"/>
      <c r="F73" s="130"/>
      <c r="G73" s="128"/>
      <c r="H73" s="129"/>
      <c r="I73" s="129"/>
      <c r="J73" s="129"/>
      <c r="K73" s="129"/>
      <c r="L73" s="130"/>
      <c r="M73" s="128"/>
      <c r="N73" s="129"/>
      <c r="O73" s="129"/>
      <c r="P73" s="129"/>
      <c r="Q73" s="129"/>
      <c r="R73" s="130"/>
      <c r="S73" s="128"/>
      <c r="T73" s="129"/>
      <c r="U73" s="129"/>
      <c r="V73" s="129"/>
      <c r="W73" s="129"/>
      <c r="X73" s="129"/>
    </row>
    <row r="74" spans="1:24" s="127" customFormat="1" ht="15.75" x14ac:dyDescent="0.25">
      <c r="A74" s="128" t="s">
        <v>22</v>
      </c>
      <c r="B74" s="129"/>
      <c r="C74" s="129"/>
      <c r="D74" s="129"/>
      <c r="E74" s="129"/>
      <c r="F74" s="146">
        <f>(E70/E72)</f>
        <v>0.30142397182671493</v>
      </c>
      <c r="G74" s="128" t="s">
        <v>22</v>
      </c>
      <c r="H74" s="129"/>
      <c r="I74" s="129"/>
      <c r="J74" s="129"/>
      <c r="K74" s="129"/>
      <c r="L74" s="146">
        <f>(K70/K72)</f>
        <v>0.58578410065407704</v>
      </c>
      <c r="M74" s="128" t="s">
        <v>22</v>
      </c>
      <c r="N74" s="129"/>
      <c r="O74" s="129"/>
      <c r="P74" s="129"/>
      <c r="Q74" s="129"/>
      <c r="R74" s="146">
        <f>(Q70/Q72)</f>
        <v>-0.13668795995088528</v>
      </c>
      <c r="S74" s="128" t="s">
        <v>22</v>
      </c>
      <c r="T74" s="129"/>
      <c r="U74" s="129"/>
      <c r="V74" s="129"/>
      <c r="W74" s="129"/>
      <c r="X74" s="218">
        <v>0</v>
      </c>
    </row>
    <row r="75" spans="1:24" s="127" customFormat="1" ht="15.75" x14ac:dyDescent="0.25">
      <c r="A75" s="128"/>
      <c r="B75" s="129"/>
      <c r="C75" s="129"/>
      <c r="D75" s="129"/>
      <c r="E75" s="140"/>
      <c r="F75" s="130"/>
      <c r="G75" s="128"/>
      <c r="H75" s="129"/>
      <c r="I75" s="129"/>
      <c r="J75" s="129"/>
      <c r="K75" s="140"/>
      <c r="L75" s="130"/>
      <c r="M75" s="128"/>
      <c r="N75" s="129"/>
      <c r="O75" s="129"/>
      <c r="P75" s="129"/>
      <c r="Q75" s="140"/>
      <c r="R75" s="130"/>
      <c r="S75" s="128"/>
      <c r="T75" s="129"/>
      <c r="U75" s="129"/>
      <c r="V75" s="129"/>
      <c r="W75" s="140"/>
      <c r="X75" s="129"/>
    </row>
    <row r="76" spans="1:24" s="127" customFormat="1" ht="15.75" x14ac:dyDescent="0.25">
      <c r="A76" s="133" t="str">
        <f>+A51</f>
        <v>Projected Revenue April 2023 -September 2023</v>
      </c>
      <c r="B76" s="134"/>
      <c r="C76" s="129"/>
      <c r="D76" s="129"/>
      <c r="E76" s="163">
        <f>E68</f>
        <v>-2142.8353213443911</v>
      </c>
      <c r="F76" s="130"/>
      <c r="G76" s="133" t="str">
        <f>+G51</f>
        <v>Projected Revenue September 2022 -August 2023</v>
      </c>
      <c r="H76" s="134"/>
      <c r="I76" s="129"/>
      <c r="J76" s="129"/>
      <c r="K76" s="163">
        <f>K68</f>
        <v>-3624</v>
      </c>
      <c r="L76" s="130"/>
      <c r="M76" s="133" t="str">
        <f>+M51</f>
        <v>Projected Revenue October 2021-September 2022</v>
      </c>
      <c r="N76" s="134"/>
      <c r="O76" s="129"/>
      <c r="P76" s="129"/>
      <c r="Q76" s="163">
        <f>Q68</f>
        <v>-5890.3580575314636</v>
      </c>
      <c r="R76" s="130"/>
      <c r="S76" s="133" t="str">
        <f>+S51</f>
        <v>Projected Revenue October 2020-September 2021</v>
      </c>
      <c r="T76" s="134"/>
      <c r="U76" s="129"/>
      <c r="V76" s="129"/>
      <c r="W76" s="163">
        <f>W68</f>
        <v>-2131.1290046727504</v>
      </c>
      <c r="X76" s="129"/>
    </row>
    <row r="77" spans="1:24" s="127" customFormat="1" ht="15.75" x14ac:dyDescent="0.25">
      <c r="A77" s="128" t="s">
        <v>78</v>
      </c>
      <c r="B77" s="129"/>
      <c r="C77" s="129"/>
      <c r="D77" s="129"/>
      <c r="E77" s="140">
        <f>C66</f>
        <v>1149.69</v>
      </c>
      <c r="F77" s="130"/>
      <c r="G77" s="128" t="s">
        <v>78</v>
      </c>
      <c r="H77" s="129"/>
      <c r="I77" s="129"/>
      <c r="J77" s="129"/>
      <c r="K77" s="140">
        <f>I66</f>
        <v>2221.41</v>
      </c>
      <c r="L77" s="130"/>
      <c r="M77" s="128" t="s">
        <v>78</v>
      </c>
      <c r="N77" s="129"/>
      <c r="O77" s="129"/>
      <c r="P77" s="129"/>
      <c r="Q77" s="140">
        <f>O66</f>
        <v>2182.3200000000002</v>
      </c>
      <c r="R77" s="130"/>
      <c r="S77" s="128" t="s">
        <v>78</v>
      </c>
      <c r="T77" s="129"/>
      <c r="U77" s="129"/>
      <c r="V77" s="129"/>
      <c r="W77" s="140">
        <f>U66</f>
        <v>623.76</v>
      </c>
      <c r="X77" s="129"/>
    </row>
    <row r="78" spans="1:24" s="127" customFormat="1" ht="18" x14ac:dyDescent="0.4">
      <c r="A78" s="128" t="s">
        <v>24</v>
      </c>
      <c r="B78" s="129"/>
      <c r="C78" s="129"/>
      <c r="D78" s="129"/>
      <c r="E78" s="129"/>
      <c r="F78" s="154">
        <f>(E76/E77)</f>
        <v>-1.8638374877961807</v>
      </c>
      <c r="G78" s="128" t="s">
        <v>24</v>
      </c>
      <c r="H78" s="129"/>
      <c r="I78" s="129"/>
      <c r="J78" s="129"/>
      <c r="K78" s="129"/>
      <c r="L78" s="154">
        <f>(K76/K77)</f>
        <v>-1.6313962753386364</v>
      </c>
      <c r="M78" s="128" t="s">
        <v>24</v>
      </c>
      <c r="N78" s="129"/>
      <c r="O78" s="129"/>
      <c r="P78" s="129"/>
      <c r="Q78" s="129"/>
      <c r="R78" s="154">
        <f>(Q76/Q77)</f>
        <v>-2.6991266439071553</v>
      </c>
      <c r="S78" s="128" t="s">
        <v>24</v>
      </c>
      <c r="T78" s="129"/>
      <c r="U78" s="129"/>
      <c r="V78" s="129"/>
      <c r="W78" s="129"/>
      <c r="X78" s="216">
        <f>(W76/W77)</f>
        <v>-3.4165849119416931</v>
      </c>
    </row>
    <row r="79" spans="1:24" s="127" customFormat="1" ht="15.75" x14ac:dyDescent="0.25">
      <c r="A79" s="128"/>
      <c r="B79" s="129"/>
      <c r="C79" s="129"/>
      <c r="D79" s="129"/>
      <c r="E79" s="129"/>
      <c r="F79" s="130"/>
      <c r="G79" s="128"/>
      <c r="H79" s="129"/>
      <c r="I79" s="129"/>
      <c r="J79" s="129"/>
      <c r="K79" s="129"/>
      <c r="L79" s="130"/>
      <c r="M79" s="128"/>
      <c r="N79" s="129"/>
      <c r="O79" s="129"/>
      <c r="P79" s="129"/>
      <c r="Q79" s="129"/>
      <c r="R79" s="130"/>
      <c r="S79" s="128"/>
      <c r="T79" s="129"/>
      <c r="U79" s="129"/>
      <c r="V79" s="129"/>
      <c r="W79" s="129"/>
      <c r="X79" s="129"/>
    </row>
    <row r="80" spans="1:24" s="127" customFormat="1" ht="16.5" thickBot="1" x14ac:dyDescent="0.3">
      <c r="A80" s="144" t="s">
        <v>31</v>
      </c>
      <c r="B80" s="150"/>
      <c r="C80" s="129"/>
      <c r="D80" s="129"/>
      <c r="E80" s="129"/>
      <c r="F80" s="155">
        <f>+F78+F74</f>
        <v>-1.5624135159694659</v>
      </c>
      <c r="G80" s="144" t="s">
        <v>31</v>
      </c>
      <c r="H80" s="150"/>
      <c r="I80" s="129"/>
      <c r="J80" s="129"/>
      <c r="K80" s="129"/>
      <c r="L80" s="155">
        <f>+L78+L74</f>
        <v>-1.0456121746845595</v>
      </c>
      <c r="M80" s="144" t="s">
        <v>31</v>
      </c>
      <c r="N80" s="150"/>
      <c r="O80" s="129"/>
      <c r="P80" s="129"/>
      <c r="Q80" s="129"/>
      <c r="R80" s="155">
        <f>+R78+R74</f>
        <v>-2.8358146038580405</v>
      </c>
      <c r="S80" s="144" t="s">
        <v>31</v>
      </c>
      <c r="T80" s="150"/>
      <c r="U80" s="129"/>
      <c r="V80" s="129"/>
      <c r="W80" s="129"/>
      <c r="X80" s="219">
        <f>+X78+X74</f>
        <v>-3.4165849119416931</v>
      </c>
    </row>
    <row r="81" spans="1:36" s="127" customFormat="1" ht="16.5" thickTop="1" x14ac:dyDescent="0.25">
      <c r="A81" s="136"/>
      <c r="B81" s="150"/>
      <c r="C81" s="129"/>
      <c r="D81" s="129"/>
      <c r="E81" s="129"/>
      <c r="F81" s="157"/>
      <c r="G81" s="136"/>
      <c r="H81" s="150"/>
      <c r="I81" s="129"/>
      <c r="J81" s="129"/>
      <c r="K81" s="129"/>
      <c r="L81" s="157"/>
      <c r="M81" s="136"/>
      <c r="N81" s="150"/>
      <c r="O81" s="129"/>
      <c r="P81" s="129"/>
      <c r="Q81" s="129"/>
      <c r="R81" s="157"/>
      <c r="S81" s="136"/>
      <c r="T81" s="150"/>
      <c r="U81" s="129"/>
      <c r="V81" s="129"/>
      <c r="W81" s="129"/>
      <c r="X81" s="156"/>
    </row>
    <row r="82" spans="1:36" s="127" customFormat="1" ht="15.75" x14ac:dyDescent="0.25">
      <c r="A82" s="128"/>
      <c r="B82" s="129"/>
      <c r="C82" s="129"/>
      <c r="D82" s="129"/>
      <c r="E82" s="129"/>
      <c r="F82" s="130"/>
      <c r="G82" s="128"/>
      <c r="H82" s="129"/>
      <c r="I82" s="129"/>
      <c r="J82" s="129"/>
      <c r="K82" s="129"/>
      <c r="L82" s="130"/>
      <c r="M82" s="128"/>
      <c r="N82" s="129"/>
      <c r="O82" s="129"/>
      <c r="P82" s="129"/>
      <c r="Q82" s="129"/>
      <c r="R82" s="130"/>
      <c r="S82" s="128"/>
      <c r="T82" s="129"/>
      <c r="U82" s="129"/>
      <c r="V82" s="129"/>
      <c r="W82" s="129"/>
      <c r="X82" s="129"/>
    </row>
    <row r="83" spans="1:36" s="213" customFormat="1" ht="16.5" thickBot="1" x14ac:dyDescent="0.3">
      <c r="A83" s="211"/>
      <c r="B83" s="165"/>
      <c r="C83" s="165"/>
      <c r="D83" s="165"/>
      <c r="E83" s="165"/>
      <c r="F83" s="212"/>
      <c r="G83" s="211"/>
      <c r="H83" s="165"/>
      <c r="I83" s="165"/>
      <c r="J83" s="165"/>
      <c r="K83" s="165"/>
      <c r="L83" s="212"/>
      <c r="M83" s="211"/>
      <c r="N83" s="165"/>
      <c r="O83" s="165"/>
      <c r="P83" s="165"/>
      <c r="Q83" s="165"/>
      <c r="R83" s="212"/>
      <c r="S83" s="211"/>
      <c r="T83" s="165"/>
      <c r="U83" s="165"/>
      <c r="V83" s="165"/>
      <c r="W83" s="165"/>
      <c r="X83" s="221"/>
      <c r="Y83" s="127"/>
      <c r="Z83" s="127"/>
      <c r="AA83" s="127"/>
      <c r="AB83" s="127"/>
      <c r="AC83" s="127"/>
      <c r="AD83" s="127"/>
      <c r="AE83" s="127"/>
      <c r="AF83" s="127"/>
      <c r="AG83" s="127"/>
      <c r="AH83" s="127"/>
      <c r="AI83" s="127"/>
      <c r="AJ83" s="127"/>
    </row>
    <row r="87" spans="1:36" x14ac:dyDescent="0.2">
      <c r="F87" s="229">
        <f>(F28+0.54)*E19</f>
        <v>-34259.636975659625</v>
      </c>
    </row>
    <row r="88" spans="1:36" x14ac:dyDescent="0.2">
      <c r="F88" s="229">
        <f>(F55+0.17)*E47</f>
        <v>-1755.937891477178</v>
      </c>
    </row>
    <row r="89" spans="1:36" x14ac:dyDescent="0.2">
      <c r="F89" s="229">
        <f>(F80+1.12)*E72</f>
        <v>-508.63839517493511</v>
      </c>
    </row>
    <row r="90" spans="1:36" x14ac:dyDescent="0.2">
      <c r="F90" s="230">
        <f>SUM(F87:F89)</f>
        <v>-36524.213262311743</v>
      </c>
    </row>
  </sheetData>
  <mergeCells count="22">
    <mergeCell ref="B4:E4"/>
    <mergeCell ref="A6:F6"/>
    <mergeCell ref="A34:F34"/>
    <mergeCell ref="A59:F59"/>
    <mergeCell ref="H4:K4"/>
    <mergeCell ref="G6:L6"/>
    <mergeCell ref="G34:L34"/>
    <mergeCell ref="G59:L59"/>
    <mergeCell ref="N4:Q4"/>
    <mergeCell ref="M6:R6"/>
    <mergeCell ref="M34:R34"/>
    <mergeCell ref="M59:R59"/>
    <mergeCell ref="S59:X59"/>
    <mergeCell ref="T4:W4"/>
    <mergeCell ref="S6:X6"/>
    <mergeCell ref="S34:X34"/>
    <mergeCell ref="AE34:AJ34"/>
    <mergeCell ref="Y6:AD6"/>
    <mergeCell ref="AE6:AJ6"/>
    <mergeCell ref="Z4:AC4"/>
    <mergeCell ref="AF4:AI4"/>
    <mergeCell ref="Y34:AD34"/>
  </mergeCells>
  <pageMargins left="0.92" right="0.25" top="0.45" bottom="0.37" header="0.3" footer="0.3"/>
  <pageSetup scale="56" fitToWidth="0" orientation="portrait" horizontalDpi="300" verticalDpi="300" r:id="rId1"/>
  <colBreaks count="3" manualBreakCount="3">
    <brk id="6" max="83" man="1"/>
    <brk id="24" max="1048575" man="1"/>
    <brk id="3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37"/>
  <sheetViews>
    <sheetView topLeftCell="A3" zoomScaleNormal="100" zoomScaleSheetLayoutView="85" workbookViewId="0">
      <selection activeCell="E25" sqref="E25"/>
    </sheetView>
  </sheetViews>
  <sheetFormatPr defaultRowHeight="15" x14ac:dyDescent="0.25"/>
  <cols>
    <col min="2" max="2" width="11.42578125" customWidth="1"/>
    <col min="3" max="3" width="9.5703125" bestFit="1" customWidth="1"/>
    <col min="4" max="4" width="12.5703125" bestFit="1" customWidth="1"/>
    <col min="6" max="6" width="11.5703125" bestFit="1" customWidth="1"/>
    <col min="7" max="7" width="10.5703125" bestFit="1" customWidth="1"/>
    <col min="8" max="8" width="11.5703125" bestFit="1" customWidth="1"/>
    <col min="9" max="9" width="3.140625" customWidth="1"/>
    <col min="11" max="11" width="11.42578125" customWidth="1"/>
    <col min="12" max="12" width="9.5703125" bestFit="1" customWidth="1"/>
    <col min="13" max="13" width="12.5703125" bestFit="1" customWidth="1"/>
    <col min="15" max="15" width="11.5703125" bestFit="1" customWidth="1"/>
    <col min="16" max="16" width="10.5703125" bestFit="1" customWidth="1"/>
    <col min="17" max="17" width="11.5703125" bestFit="1" customWidth="1"/>
    <col min="18" max="20" width="3.140625" customWidth="1"/>
    <col min="22" max="22" width="11.42578125" customWidth="1"/>
    <col min="24" max="24" width="12.5703125" bestFit="1" customWidth="1"/>
    <col min="26" max="26" width="11.5703125" bestFit="1" customWidth="1"/>
    <col min="27" max="27" width="10.5703125" bestFit="1" customWidth="1"/>
    <col min="28" max="28" width="11.5703125" bestFit="1" customWidth="1"/>
    <col min="32" max="32" width="11.42578125" customWidth="1"/>
    <col min="34" max="34" width="12.5703125" bestFit="1" customWidth="1"/>
    <col min="36" max="36" width="11.5703125" bestFit="1" customWidth="1"/>
    <col min="37" max="37" width="10.5703125" bestFit="1" customWidth="1"/>
    <col min="38" max="38" width="11.5703125" bestFit="1" customWidth="1"/>
    <col min="39" max="40" width="0" hidden="1" customWidth="1"/>
    <col min="43" max="43" width="10.5703125" bestFit="1" customWidth="1"/>
    <col min="45" max="45" width="14.28515625" customWidth="1"/>
    <col min="48" max="48" width="12" customWidth="1"/>
    <col min="49" max="49" width="14.5703125" customWidth="1"/>
    <col min="50" max="50" width="12.7109375" customWidth="1"/>
    <col min="52" max="52" width="10.5703125" bestFit="1" customWidth="1"/>
  </cols>
  <sheetData>
    <row r="1" spans="1:52" x14ac:dyDescent="0.25">
      <c r="A1" s="11" t="s">
        <v>32</v>
      </c>
      <c r="J1" s="11" t="s">
        <v>32</v>
      </c>
      <c r="S1" s="111"/>
      <c r="U1" s="11" t="s">
        <v>32</v>
      </c>
      <c r="AE1" s="11" t="s">
        <v>32</v>
      </c>
    </row>
    <row r="2" spans="1:52" x14ac:dyDescent="0.25">
      <c r="A2" t="s">
        <v>122</v>
      </c>
      <c r="J2" t="s">
        <v>103</v>
      </c>
      <c r="S2" s="111"/>
      <c r="U2" t="s">
        <v>102</v>
      </c>
      <c r="AE2" t="s">
        <v>51</v>
      </c>
      <c r="AP2" t="s">
        <v>33</v>
      </c>
      <c r="AV2" t="s">
        <v>34</v>
      </c>
    </row>
    <row r="3" spans="1:52" x14ac:dyDescent="0.25">
      <c r="S3" s="111"/>
    </row>
    <row r="4" spans="1:52" ht="30" x14ac:dyDescent="0.25">
      <c r="A4" s="1"/>
      <c r="B4" s="189" t="s">
        <v>10</v>
      </c>
      <c r="C4" s="190" t="s">
        <v>36</v>
      </c>
      <c r="D4" s="189" t="s">
        <v>125</v>
      </c>
      <c r="E4" s="191" t="s">
        <v>68</v>
      </c>
      <c r="F4" s="191" t="s">
        <v>7</v>
      </c>
      <c r="G4" s="192" t="s">
        <v>69</v>
      </c>
      <c r="H4" s="192" t="s">
        <v>95</v>
      </c>
      <c r="I4" s="110"/>
      <c r="J4" s="1"/>
      <c r="K4" s="12" t="s">
        <v>10</v>
      </c>
      <c r="L4" s="13" t="s">
        <v>36</v>
      </c>
      <c r="M4" s="13" t="s">
        <v>37</v>
      </c>
      <c r="N4" s="3" t="s">
        <v>68</v>
      </c>
      <c r="O4" s="3" t="s">
        <v>7</v>
      </c>
      <c r="P4" s="26" t="s">
        <v>69</v>
      </c>
      <c r="Q4" s="26" t="s">
        <v>95</v>
      </c>
      <c r="R4" s="110"/>
      <c r="S4" s="112"/>
      <c r="U4" s="1"/>
      <c r="V4" s="12" t="s">
        <v>10</v>
      </c>
      <c r="W4" s="13" t="s">
        <v>36</v>
      </c>
      <c r="X4" s="13" t="s">
        <v>37</v>
      </c>
      <c r="Y4" s="3" t="s">
        <v>68</v>
      </c>
      <c r="Z4" s="3" t="s">
        <v>7</v>
      </c>
      <c r="AA4" s="26" t="s">
        <v>69</v>
      </c>
      <c r="AB4" s="26" t="s">
        <v>95</v>
      </c>
      <c r="AE4" s="1"/>
      <c r="AF4" s="12" t="s">
        <v>10</v>
      </c>
      <c r="AG4" s="13" t="s">
        <v>36</v>
      </c>
      <c r="AH4" s="13" t="s">
        <v>37</v>
      </c>
      <c r="AI4" s="3" t="s">
        <v>68</v>
      </c>
      <c r="AJ4" s="3" t="s">
        <v>7</v>
      </c>
      <c r="AK4" s="26" t="s">
        <v>69</v>
      </c>
      <c r="AL4" s="26" t="s">
        <v>95</v>
      </c>
      <c r="AP4" s="1"/>
      <c r="AQ4" s="12" t="s">
        <v>35</v>
      </c>
      <c r="AR4" s="13" t="s">
        <v>36</v>
      </c>
      <c r="AS4" s="13" t="s">
        <v>37</v>
      </c>
      <c r="AW4" t="s">
        <v>38</v>
      </c>
      <c r="AX4" s="2" t="s">
        <v>39</v>
      </c>
    </row>
    <row r="5" spans="1:52" x14ac:dyDescent="0.25">
      <c r="A5" s="9">
        <v>44743</v>
      </c>
      <c r="C5" s="193">
        <f>'[1]2022'!B10</f>
        <v>81.46048946791673</v>
      </c>
      <c r="D5" s="194">
        <f>'[1]2022'!C10</f>
        <v>6690.35</v>
      </c>
      <c r="E5" s="25">
        <f>D5/C5</f>
        <v>82.13</v>
      </c>
      <c r="F5" s="208">
        <f>(+C5+(+$C$19/6))*'Cust-PickUps'!$I$18</f>
        <v>46.933763786668287</v>
      </c>
      <c r="G5" s="208">
        <f>(+C5+(+$C$19/6))*'Cust-PickUps'!$I$19</f>
        <v>2.5426185378831274</v>
      </c>
      <c r="H5" s="208">
        <f>(+C5+(+$C$19/6))*'Cust-PickUps'!$I$20</f>
        <v>4.3352738100319934</v>
      </c>
      <c r="I5" s="25"/>
      <c r="J5" s="9">
        <v>44378</v>
      </c>
      <c r="L5" s="210">
        <v>92.9</v>
      </c>
      <c r="M5" s="55">
        <v>4692.45</v>
      </c>
      <c r="N5" s="25">
        <f>M5/L5</f>
        <v>50.510764262648003</v>
      </c>
      <c r="O5" s="25">
        <f>(+L5+(+$AG$19/12))*'Cust-PickUps'!$S$18</f>
        <v>57.545791775439397</v>
      </c>
      <c r="P5" s="25">
        <f>(+L5+(+$AG$19/12))*'Cust-PickUps'!$S$19</f>
        <v>3.0547326114884794</v>
      </c>
      <c r="Q5" s="25">
        <f>(+L5+(+$AG$19/12))*'Cust-PickUps'!$S$20</f>
        <v>5.1928089464054663</v>
      </c>
      <c r="R5" s="25"/>
      <c r="S5" s="113"/>
      <c r="U5" s="9">
        <v>44013</v>
      </c>
      <c r="W5" s="54">
        <v>90.78</v>
      </c>
      <c r="X5" s="55">
        <v>11432.96</v>
      </c>
      <c r="Y5" s="15">
        <f>X5/W5</f>
        <v>125.94139678343247</v>
      </c>
      <c r="Z5" s="25">
        <f>(+W5+(+$AG$19/12))*'Cust-PickUps'!$BA$18</f>
        <v>58.608151579244364</v>
      </c>
      <c r="AA5" s="25">
        <f>(+W5+(+$AG$19/12))*'Cust-PickUps'!$BA$19</f>
        <v>3.5913076834744855</v>
      </c>
      <c r="AB5" s="25">
        <f>(+W5+(+$AG$19/12))*'Cust-PickUps'!$BA$20</f>
        <v>1.4738740706144777</v>
      </c>
      <c r="AE5" s="9">
        <v>43647</v>
      </c>
      <c r="AG5" s="54">
        <v>87.44</v>
      </c>
      <c r="AH5" s="55">
        <v>11597.29</v>
      </c>
      <c r="AI5" s="15">
        <f>AH5/AG5</f>
        <v>132.63140439158281</v>
      </c>
      <c r="AJ5" s="25">
        <f>(+AG5+(+$AG$19/12))*'Cust-PickUps'!$BA$18</f>
        <v>55.533846905262429</v>
      </c>
      <c r="AK5" s="25">
        <f>(+AG5+(+$AG$19/12))*'Cust-PickUps'!$BA$19</f>
        <v>3.4029247759861887</v>
      </c>
      <c r="AL5" s="25">
        <f>(+AG5+(+$AG$19/12))*'Cust-PickUps'!$BA$20</f>
        <v>1.3965616520847055</v>
      </c>
      <c r="AM5" s="15"/>
      <c r="AN5" s="15"/>
      <c r="AP5" s="9">
        <v>43282</v>
      </c>
      <c r="AQ5">
        <v>1755</v>
      </c>
      <c r="AR5" s="17">
        <v>86</v>
      </c>
      <c r="AS5" s="18">
        <f>AR5*AT5</f>
        <v>9271.66</v>
      </c>
      <c r="AT5" s="16">
        <v>107.81</v>
      </c>
      <c r="AU5" s="16"/>
      <c r="AV5" s="1">
        <v>43298</v>
      </c>
      <c r="AW5">
        <v>79.2</v>
      </c>
      <c r="AX5">
        <v>325.56</v>
      </c>
      <c r="AY5" s="16">
        <f>AX5/AW5</f>
        <v>4.1106060606060604</v>
      </c>
    </row>
    <row r="6" spans="1:52" x14ac:dyDescent="0.25">
      <c r="A6" s="9">
        <v>44774</v>
      </c>
      <c r="C6" s="193">
        <f>'[1]2022'!B11</f>
        <v>89.09115550647526</v>
      </c>
      <c r="D6" s="194">
        <f>'[1]2022'!C11</f>
        <v>8874.3700000000008</v>
      </c>
      <c r="E6" s="25">
        <f t="shared" ref="E6:E10" si="0">D6/C6</f>
        <v>99.61</v>
      </c>
      <c r="F6" s="208">
        <f>(+C6+(+$C$19/6))*'Cust-PickUps'!$I$18</f>
        <v>53.589122553047019</v>
      </c>
      <c r="G6" s="208">
        <f>(+C6+(+$C$19/6))*'Cust-PickUps'!$I$19</f>
        <v>2.9031700302495747</v>
      </c>
      <c r="H6" s="208">
        <f>(+C6+(+$C$19/6))*'Cust-PickUps'!$I$20</f>
        <v>4.9500295898453377</v>
      </c>
      <c r="I6" s="25"/>
      <c r="J6" s="9">
        <v>44409</v>
      </c>
      <c r="L6" s="210">
        <v>88.54</v>
      </c>
      <c r="M6" s="55">
        <v>3822.31</v>
      </c>
      <c r="N6" s="25">
        <f t="shared" ref="N6:N16" si="1">M6/L6</f>
        <v>43.170431443415403</v>
      </c>
      <c r="O6" s="25">
        <f>(+L6+(+$AG$19/12))*'Cust-PickUps'!$S$18</f>
        <v>53.732340785355561</v>
      </c>
      <c r="P6" s="25">
        <f>(+L6+(+$AG$19/12))*'Cust-PickUps'!$S$19</f>
        <v>2.8523012478332492</v>
      </c>
      <c r="Q6" s="25">
        <f>(+L6+(+$AG$19/12))*'Cust-PickUps'!$S$20</f>
        <v>4.8486913001445302</v>
      </c>
      <c r="R6" s="25"/>
      <c r="S6" s="113"/>
      <c r="U6" s="9">
        <v>44044</v>
      </c>
      <c r="W6" s="54">
        <v>78.17</v>
      </c>
      <c r="X6" s="55">
        <v>9518.0400000000009</v>
      </c>
      <c r="Y6" s="15">
        <f t="shared" ref="Y6:Y16" si="2">X6/W6</f>
        <v>121.76077779199183</v>
      </c>
      <c r="Z6" s="25">
        <f>(+W6+(+$AG$19/12))*'Cust-PickUps'!$BA$18</f>
        <v>47.00127075921079</v>
      </c>
      <c r="AA6" s="25">
        <f>(+W6+(+$AG$19/12))*'Cust-PickUps'!$BA$19</f>
        <v>2.8800776046040015</v>
      </c>
      <c r="AB6" s="25">
        <f>(+W6+(+$AG$19/12))*'Cust-PickUps'!$BA$20</f>
        <v>1.1819849695185416</v>
      </c>
      <c r="AE6" s="9">
        <v>43678</v>
      </c>
      <c r="AG6" s="54">
        <v>89.18</v>
      </c>
      <c r="AH6" s="55">
        <v>11684.51</v>
      </c>
      <c r="AI6" s="15">
        <f t="shared" ref="AI6:AI16" si="3">AH6/AG6</f>
        <v>131.02164162368243</v>
      </c>
      <c r="AJ6" s="25">
        <f>(+AG6+(+$AG$19/12))*'Cust-PickUps'!$BA$18</f>
        <v>57.135430777336857</v>
      </c>
      <c r="AK6" s="25">
        <f>(+AG6+(+$AG$19/12))*'Cust-PickUps'!$BA$19</f>
        <v>3.5010643744980565</v>
      </c>
      <c r="AL6" s="25">
        <f>(+AG6+(+$AG$19/12))*'Cust-PickUps'!$BA$20</f>
        <v>1.4368381814984192</v>
      </c>
      <c r="AM6" s="15"/>
      <c r="AN6" s="15"/>
      <c r="AP6" s="9">
        <v>43313</v>
      </c>
      <c r="AQ6">
        <v>1755</v>
      </c>
      <c r="AR6">
        <v>98</v>
      </c>
      <c r="AS6" s="15">
        <v>10609</v>
      </c>
      <c r="AT6" s="16">
        <f>AS6/AR6</f>
        <v>108.25510204081633</v>
      </c>
      <c r="AU6" s="16"/>
      <c r="AV6" s="1">
        <v>43329</v>
      </c>
      <c r="AW6">
        <v>100.09</v>
      </c>
      <c r="AX6">
        <v>1762.1</v>
      </c>
      <c r="AY6" s="16">
        <f t="shared" ref="AY6:AY17" si="4">AX6/AW6</f>
        <v>17.605155360175839</v>
      </c>
    </row>
    <row r="7" spans="1:52" x14ac:dyDescent="0.25">
      <c r="A7" s="9">
        <v>44805</v>
      </c>
      <c r="C7" s="193">
        <f>'[1]2022'!B12</f>
        <v>85.470436131701433</v>
      </c>
      <c r="D7" s="194">
        <f>'[1]2022'!C12</f>
        <v>9916.2800000000007</v>
      </c>
      <c r="E7" s="25">
        <f t="shared" si="0"/>
        <v>116.02000000000001</v>
      </c>
      <c r="F7" s="208">
        <f>(+C7+(+$C$19/6))*'Cust-PickUps'!$I$18</f>
        <v>50.431182432259035</v>
      </c>
      <c r="G7" s="208">
        <f>(+C7+(+$C$19/6))*'Cust-PickUps'!$I$19</f>
        <v>2.7320898430918334</v>
      </c>
      <c r="H7" s="208">
        <f>(+C7+(+$C$19/6))*'Cust-PickUps'!$I$20</f>
        <v>4.6583305230172414</v>
      </c>
      <c r="I7" s="25"/>
      <c r="J7" s="9">
        <v>44440</v>
      </c>
      <c r="L7" s="210">
        <v>89.75</v>
      </c>
      <c r="M7" s="55">
        <v>3176.33</v>
      </c>
      <c r="N7" s="25">
        <f t="shared" si="1"/>
        <v>35.390863509749302</v>
      </c>
      <c r="O7" s="25">
        <f>(+L7+(+$AG$19/12))*'Cust-PickUps'!$S$18</f>
        <v>54.790660899576068</v>
      </c>
      <c r="P7" s="25">
        <f>(+L7+(+$AG$19/12))*'Cust-PickUps'!$S$19</f>
        <v>2.9084805941687599</v>
      </c>
      <c r="Q7" s="25">
        <f>(+L7+(+$AG$19/12))*'Cust-PickUps'!$S$20</f>
        <v>4.9441918395885054</v>
      </c>
      <c r="R7" s="25"/>
      <c r="S7" s="113"/>
      <c r="U7" s="9">
        <v>44075</v>
      </c>
      <c r="W7" s="54">
        <v>90.67</v>
      </c>
      <c r="X7" s="55">
        <v>10523.27</v>
      </c>
      <c r="Y7" s="15">
        <f t="shared" si="2"/>
        <v>116.06121098489027</v>
      </c>
      <c r="Z7" s="25">
        <f>(+W7+(+$AG$19/12))*'Cust-PickUps'!$BA$18</f>
        <v>58.506902024113224</v>
      </c>
      <c r="AA7" s="25">
        <f>(+W7+(+$AG$19/12))*'Cust-PickUps'!$BA$19</f>
        <v>3.585103455982356</v>
      </c>
      <c r="AB7" s="25">
        <f>(+W7+(+$AG$19/12))*'Cust-PickUps'!$BA$20</f>
        <v>1.4713278532377487</v>
      </c>
      <c r="AE7" s="9">
        <v>43709</v>
      </c>
      <c r="AG7" s="54">
        <v>80.47</v>
      </c>
      <c r="AH7" s="55">
        <v>10668</v>
      </c>
      <c r="AI7" s="15">
        <f t="shared" si="3"/>
        <v>132.57114452591028</v>
      </c>
      <c r="AJ7" s="25">
        <f>(+AG7+(+$AG$19/12))*'Cust-PickUps'!$BA$18</f>
        <v>49.118306911952835</v>
      </c>
      <c r="AK7" s="25">
        <f>(+AG7+(+$AG$19/12))*'Cust-PickUps'!$BA$19</f>
        <v>3.0098023612576186</v>
      </c>
      <c r="AL7" s="25">
        <f>(+AG7+(+$AG$19/12))*'Cust-PickUps'!$BA$20</f>
        <v>1.2352240601228757</v>
      </c>
      <c r="AM7" s="15"/>
      <c r="AN7" s="15"/>
      <c r="AP7" s="9">
        <v>43344</v>
      </c>
      <c r="AQ7">
        <v>1755</v>
      </c>
      <c r="AR7">
        <v>82</v>
      </c>
      <c r="AS7" s="15">
        <v>8809</v>
      </c>
      <c r="AT7" s="16">
        <f t="shared" ref="AT7:AT16" si="5">AS7/AR7</f>
        <v>107.42682926829268</v>
      </c>
      <c r="AU7" s="16"/>
      <c r="AV7" s="1">
        <v>43360</v>
      </c>
      <c r="AW7">
        <v>80.06</v>
      </c>
      <c r="AX7">
        <v>3452.21</v>
      </c>
      <c r="AY7" s="16">
        <f t="shared" si="4"/>
        <v>43.120284786410188</v>
      </c>
    </row>
    <row r="8" spans="1:52" x14ac:dyDescent="0.25">
      <c r="A8" s="9">
        <v>44835</v>
      </c>
      <c r="C8" s="193">
        <f>'[1]2022'!B13</f>
        <v>78.710455563853614</v>
      </c>
      <c r="D8" s="194">
        <f>'[1]2022'!C13</f>
        <v>10539.33</v>
      </c>
      <c r="E8" s="25">
        <f t="shared" si="0"/>
        <v>133.9</v>
      </c>
      <c r="F8" s="208">
        <f>(+C8+(+$C$19/6))*'Cust-PickUps'!$I$18</f>
        <v>44.535223192864152</v>
      </c>
      <c r="G8" s="208">
        <f>(+C8+(+$C$19/6))*'Cust-PickUps'!$I$19</f>
        <v>2.412678526990502</v>
      </c>
      <c r="H8" s="208">
        <f>(+C8+(+$C$19/6))*'Cust-PickUps'!$I$20</f>
        <v>4.1137205106656349</v>
      </c>
      <c r="I8" s="25"/>
      <c r="J8" s="9">
        <v>44470</v>
      </c>
      <c r="L8" s="210">
        <v>87.54</v>
      </c>
      <c r="M8" s="55">
        <v>3100.72</v>
      </c>
      <c r="N8" s="25">
        <f t="shared" si="1"/>
        <v>35.420607722184137</v>
      </c>
      <c r="O8" s="25">
        <f>(+L8+(+$AG$19/12))*'Cust-PickUps'!$S$18</f>
        <v>52.857696062859269</v>
      </c>
      <c r="P8" s="25">
        <f>(+L8+(+$AG$19/12))*'Cust-PickUps'!$S$19</f>
        <v>2.8058720359857197</v>
      </c>
      <c r="Q8" s="25">
        <f>(+L8+(+$AG$19/12))*'Cust-PickUps'!$S$20</f>
        <v>4.7697652344883528</v>
      </c>
      <c r="R8" s="25"/>
      <c r="S8" s="113"/>
      <c r="U8" s="9">
        <v>44105</v>
      </c>
      <c r="W8" s="54">
        <v>89.13</v>
      </c>
      <c r="X8" s="55">
        <v>9803.5400000000009</v>
      </c>
      <c r="Y8" s="15">
        <f t="shared" si="2"/>
        <v>109.99147312913723</v>
      </c>
      <c r="Z8" s="25">
        <f>(+W8+(+$AG$19/12))*'Cust-PickUps'!$BA$18</f>
        <v>57.089408252277238</v>
      </c>
      <c r="AA8" s="25">
        <f>(+W8+(+$AG$19/12))*'Cust-PickUps'!$BA$19</f>
        <v>3.4982442710925423</v>
      </c>
      <c r="AB8" s="25">
        <f>(+W8+(+$AG$19/12))*'Cust-PickUps'!$BA$20</f>
        <v>1.4356808099635421</v>
      </c>
      <c r="AE8" s="9">
        <v>43739</v>
      </c>
      <c r="AG8" s="54">
        <v>92.54</v>
      </c>
      <c r="AH8" s="55">
        <v>12269.11</v>
      </c>
      <c r="AI8" s="15">
        <f t="shared" si="3"/>
        <v>132.58169440242057</v>
      </c>
      <c r="AJ8" s="25">
        <f>(+AG8+(+$AG$19/12))*'Cust-PickUps'!$BA$18</f>
        <v>60.228144461342637</v>
      </c>
      <c r="AK8" s="25">
        <f>(+AG8+(+$AG$19/12))*'Cust-PickUps'!$BA$19</f>
        <v>3.6905753233485576</v>
      </c>
      <c r="AL8" s="25">
        <f>(+AG8+(+$AG$19/12))*'Cust-PickUps'!$BA$20</f>
        <v>1.5146135486421421</v>
      </c>
      <c r="AM8" s="15"/>
      <c r="AN8" s="15"/>
      <c r="AP8" s="9">
        <v>43374</v>
      </c>
      <c r="AQ8">
        <v>1755</v>
      </c>
      <c r="AR8">
        <v>94</v>
      </c>
      <c r="AS8" s="15">
        <v>10116</v>
      </c>
      <c r="AT8" s="16">
        <f t="shared" si="5"/>
        <v>107.61702127659575</v>
      </c>
      <c r="AU8" s="16"/>
      <c r="AV8" s="1">
        <v>43390</v>
      </c>
      <c r="AW8">
        <v>89.07</v>
      </c>
      <c r="AX8">
        <v>7495.26</v>
      </c>
      <c r="AY8" s="16">
        <f t="shared" si="4"/>
        <v>84.150218928932304</v>
      </c>
    </row>
    <row r="9" spans="1:52" x14ac:dyDescent="0.25">
      <c r="A9" s="9">
        <v>44866</v>
      </c>
      <c r="C9" s="193">
        <f>'[1]2022'!B14</f>
        <v>85.920326176404586</v>
      </c>
      <c r="D9" s="194">
        <f>'[1]2022'!C14</f>
        <v>11484.97</v>
      </c>
      <c r="E9" s="25">
        <f t="shared" si="0"/>
        <v>133.66999999999999</v>
      </c>
      <c r="F9" s="208">
        <f>(+C9+(+$C$19/6))*'Cust-PickUps'!$I$18</f>
        <v>50.823570152779332</v>
      </c>
      <c r="G9" s="208">
        <f>(+C9+(+$C$19/6))*'Cust-PickUps'!$I$19</f>
        <v>2.753347296399169</v>
      </c>
      <c r="H9" s="208">
        <f>(+C9+(+$C$19/6))*'Cust-PickUps'!$I$20</f>
        <v>4.6945753938927588</v>
      </c>
      <c r="I9" s="25"/>
      <c r="J9" s="9">
        <v>44501</v>
      </c>
      <c r="L9" s="210">
        <v>92.99</v>
      </c>
      <c r="M9" s="55">
        <v>4603.9399999999996</v>
      </c>
      <c r="N9" s="25">
        <f t="shared" si="1"/>
        <v>49.510054844606948</v>
      </c>
      <c r="O9" s="25">
        <f>(+L9+(+$AG$19/12))*'Cust-PickUps'!$S$18</f>
        <v>57.624509800464054</v>
      </c>
      <c r="P9" s="25">
        <f>(+L9+(+$AG$19/12))*'Cust-PickUps'!$S$19</f>
        <v>3.0589112405547567</v>
      </c>
      <c r="Q9" s="25">
        <f>(+L9+(+$AG$19/12))*'Cust-PickUps'!$S$20</f>
        <v>5.1999122923145213</v>
      </c>
      <c r="R9" s="25"/>
      <c r="S9" s="113"/>
      <c r="U9" s="9">
        <v>44136</v>
      </c>
      <c r="W9" s="54">
        <v>82.35</v>
      </c>
      <c r="X9" s="55">
        <v>8779.43</v>
      </c>
      <c r="Y9" s="15">
        <f t="shared" si="2"/>
        <v>106.61117182756529</v>
      </c>
      <c r="Z9" s="25">
        <f>(+W9+(+$AG$19/12))*'Cust-PickUps'!$BA$18</f>
        <v>50.848753854194157</v>
      </c>
      <c r="AA9" s="25">
        <f>(+W9+(+$AG$19/12))*'Cust-PickUps'!$BA$19</f>
        <v>3.115838249304923</v>
      </c>
      <c r="AB9" s="25">
        <f>(+W9+(+$AG$19/12))*'Cust-PickUps'!$BA$20</f>
        <v>1.2787412298342442</v>
      </c>
      <c r="AE9" s="9">
        <v>43770</v>
      </c>
      <c r="AG9" s="54">
        <v>87.29</v>
      </c>
      <c r="AH9" s="55">
        <v>11733.59</v>
      </c>
      <c r="AI9" s="15">
        <f t="shared" si="3"/>
        <v>134.42078130370029</v>
      </c>
      <c r="AJ9" s="25">
        <f>(+AG9+(+$AG$19/12))*'Cust-PickUps'!$BA$18</f>
        <v>55.395779330083613</v>
      </c>
      <c r="AK9" s="25">
        <f>(+AG9+(+$AG$19/12))*'Cust-PickUps'!$BA$19</f>
        <v>3.3944644657696492</v>
      </c>
      <c r="AL9" s="25">
        <f>(+AG9+(+$AG$19/12))*'Cust-PickUps'!$BA$20</f>
        <v>1.3930895374800751</v>
      </c>
      <c r="AM9" s="15"/>
      <c r="AN9" s="15"/>
      <c r="AP9" s="9">
        <v>43405</v>
      </c>
      <c r="AQ9">
        <v>1755</v>
      </c>
      <c r="AR9">
        <v>100</v>
      </c>
      <c r="AS9" s="15">
        <v>10640</v>
      </c>
      <c r="AT9" s="16">
        <f t="shared" si="5"/>
        <v>106.4</v>
      </c>
      <c r="AU9" s="16"/>
      <c r="AV9" s="1">
        <v>43421</v>
      </c>
      <c r="AW9">
        <v>102.65</v>
      </c>
      <c r="AX9">
        <v>8104.27</v>
      </c>
      <c r="AY9" s="16">
        <f t="shared" si="4"/>
        <v>78.950511446663413</v>
      </c>
    </row>
    <row r="10" spans="1:52" x14ac:dyDescent="0.25">
      <c r="A10" s="9">
        <v>44896</v>
      </c>
      <c r="C10" s="193">
        <f>'[1]2022'!B15</f>
        <v>78.410084431468476</v>
      </c>
      <c r="D10" s="194">
        <f>'[1]2022'!C15</f>
        <v>9936.91</v>
      </c>
      <c r="E10" s="25">
        <f t="shared" si="0"/>
        <v>126.73</v>
      </c>
      <c r="F10" s="208">
        <f>(+C10+(+$C$19/6))*'Cust-PickUps'!$I$18</f>
        <v>44.273243748476858</v>
      </c>
      <c r="G10" s="208">
        <f>(+C10+(+$C$19/6))*'Cust-PickUps'!$I$19</f>
        <v>2.3984858917083374</v>
      </c>
      <c r="H10" s="208">
        <f>(+C10+(+$C$19/6))*'Cust-PickUps'!$I$20</f>
        <v>4.089521457949953</v>
      </c>
      <c r="I10" s="25"/>
      <c r="J10" s="9">
        <v>44531</v>
      </c>
      <c r="L10" s="210">
        <v>81.599999999999994</v>
      </c>
      <c r="M10" s="55">
        <v>6197.61</v>
      </c>
      <c r="N10" s="25">
        <f t="shared" si="1"/>
        <v>75.951102941176472</v>
      </c>
      <c r="O10" s="25">
        <f>(+L10+(+$AG$19/12))*'Cust-PickUps'!$S$18</f>
        <v>47.662306411231285</v>
      </c>
      <c r="P10" s="25">
        <f>(+L10+(+$AG$19/12))*'Cust-PickUps'!$S$19</f>
        <v>2.5300825176113917</v>
      </c>
      <c r="Q10" s="25">
        <f>(+L10+(+$AG$19/12))*'Cust-PickUps'!$S$20</f>
        <v>4.3009444044906546</v>
      </c>
      <c r="R10" s="25"/>
      <c r="S10" s="113"/>
      <c r="U10" s="9">
        <v>44166</v>
      </c>
      <c r="W10" s="54">
        <v>103.42</v>
      </c>
      <c r="X10" s="55">
        <v>10498.29</v>
      </c>
      <c r="Y10" s="15">
        <f t="shared" si="2"/>
        <v>101.51121639914911</v>
      </c>
      <c r="Z10" s="25">
        <f>(+W10+(+$AG$19/12))*'Cust-PickUps'!$BA$18</f>
        <v>70.242645914313712</v>
      </c>
      <c r="AA10" s="25">
        <f>(+W10+(+$AG$19/12))*'Cust-PickUps'!$BA$19</f>
        <v>4.3042298243882771</v>
      </c>
      <c r="AB10" s="25">
        <f>(+W10+(+$AG$19/12))*'Cust-PickUps'!$BA$20</f>
        <v>1.7664575946313397</v>
      </c>
      <c r="AE10" s="9">
        <v>43800</v>
      </c>
      <c r="AG10" s="54">
        <v>100.64</v>
      </c>
      <c r="AH10" s="55">
        <v>13399.31</v>
      </c>
      <c r="AI10" s="15">
        <f t="shared" si="3"/>
        <v>133.14099761526231</v>
      </c>
      <c r="AJ10" s="25">
        <f>(+AG10+(+$AG$19/12))*'Cust-PickUps'!$BA$18</f>
        <v>67.683793520999416</v>
      </c>
      <c r="AK10" s="25">
        <f>(+AG10+(+$AG$19/12))*'Cust-PickUps'!$BA$19</f>
        <v>4.1474320750417313</v>
      </c>
      <c r="AL10" s="25">
        <f>(+AG10+(+$AG$19/12))*'Cust-PickUps'!$BA$20</f>
        <v>1.702107737292188</v>
      </c>
      <c r="AM10" s="15"/>
      <c r="AN10" s="15"/>
      <c r="AP10" s="9">
        <v>43435</v>
      </c>
      <c r="AQ10">
        <v>1755</v>
      </c>
      <c r="AR10">
        <v>95</v>
      </c>
      <c r="AS10" s="15">
        <v>10274</v>
      </c>
      <c r="AT10" s="16">
        <f t="shared" si="5"/>
        <v>108.14736842105263</v>
      </c>
      <c r="AU10" s="16"/>
      <c r="AV10" s="1">
        <v>43451</v>
      </c>
      <c r="AW10">
        <v>97.97</v>
      </c>
      <c r="AX10">
        <v>7749.51</v>
      </c>
      <c r="AY10" s="16">
        <f t="shared" si="4"/>
        <v>79.100847198121883</v>
      </c>
    </row>
    <row r="11" spans="1:52" x14ac:dyDescent="0.25">
      <c r="A11" s="9">
        <v>44927</v>
      </c>
      <c r="C11" s="25"/>
      <c r="D11" s="25"/>
      <c r="E11" s="25"/>
      <c r="F11" s="25"/>
      <c r="G11" s="25"/>
      <c r="H11" s="25"/>
      <c r="I11" s="25"/>
      <c r="J11" s="9">
        <v>44562</v>
      </c>
      <c r="L11" s="210">
        <v>83.11</v>
      </c>
      <c r="M11" s="55">
        <v>7275.49</v>
      </c>
      <c r="N11" s="25">
        <f t="shared" si="1"/>
        <v>87.540488509204664</v>
      </c>
      <c r="O11" s="25">
        <f>(+L11+(+$AG$19/12))*'Cust-PickUps'!$S$18</f>
        <v>48.983019942200691</v>
      </c>
      <c r="P11" s="25">
        <f>(+L11+(+$AG$19/12))*'Cust-PickUps'!$S$19</f>
        <v>2.6001906275011621</v>
      </c>
      <c r="Q11" s="25">
        <f>(+L11+(+$AG$19/12))*'Cust-PickUps'!$S$20</f>
        <v>4.4201227636314844</v>
      </c>
      <c r="R11" s="25"/>
      <c r="S11" s="113"/>
      <c r="U11" s="9">
        <v>44197</v>
      </c>
      <c r="W11" s="54">
        <v>91.68</v>
      </c>
      <c r="X11" s="55">
        <v>9081.93</v>
      </c>
      <c r="Y11" s="15">
        <f t="shared" si="2"/>
        <v>99.061191099476432</v>
      </c>
      <c r="Z11" s="25">
        <f>(+W11+(+$AG$19/12))*'Cust-PickUps'!$BA$18</f>
        <v>59.436557030317346</v>
      </c>
      <c r="AA11" s="25">
        <f>(+W11+(+$AG$19/12))*'Cust-PickUps'!$BA$19</f>
        <v>3.6420695447737272</v>
      </c>
      <c r="AB11" s="25">
        <f>(+W11+(+$AG$19/12))*'Cust-PickUps'!$BA$20</f>
        <v>1.4947067582422606</v>
      </c>
      <c r="AE11" s="9">
        <v>43831</v>
      </c>
      <c r="AG11" s="54">
        <v>96.96</v>
      </c>
      <c r="AH11" s="55">
        <v>12670.88</v>
      </c>
      <c r="AI11" s="15">
        <f t="shared" si="3"/>
        <v>130.68151815181517</v>
      </c>
      <c r="AJ11" s="25">
        <f>(+AG11+(+$AG$19/12))*'Cust-PickUps'!$BA$18</f>
        <v>64.296535676612123</v>
      </c>
      <c r="AK11" s="25">
        <f>(+AG11+(+$AG$19/12))*'Cust-PickUps'!$BA$19</f>
        <v>3.9398724643959433</v>
      </c>
      <c r="AL11" s="25">
        <f>(+AG11+(+$AG$19/12))*'Cust-PickUps'!$BA$20</f>
        <v>1.6169251923252534</v>
      </c>
      <c r="AM11" s="15"/>
      <c r="AN11" s="15"/>
      <c r="AP11" s="9">
        <v>43466</v>
      </c>
      <c r="AQ11">
        <v>1755</v>
      </c>
      <c r="AR11">
        <v>108</v>
      </c>
      <c r="AS11" s="15">
        <v>11867</v>
      </c>
      <c r="AT11" s="16">
        <f t="shared" si="5"/>
        <v>109.87962962962963</v>
      </c>
      <c r="AU11" s="16"/>
      <c r="AY11" s="16"/>
    </row>
    <row r="12" spans="1:52" x14ac:dyDescent="0.25">
      <c r="A12" s="9">
        <v>44958</v>
      </c>
      <c r="C12" s="25"/>
      <c r="D12" s="25"/>
      <c r="E12" s="25"/>
      <c r="F12" s="25"/>
      <c r="G12" s="25"/>
      <c r="H12" s="25"/>
      <c r="I12" s="25"/>
      <c r="J12" s="9">
        <v>44593</v>
      </c>
      <c r="L12" s="210">
        <v>75.45</v>
      </c>
      <c r="M12" s="55">
        <v>6499.28</v>
      </c>
      <c r="N12" s="25">
        <f t="shared" si="1"/>
        <v>86.140225314777993</v>
      </c>
      <c r="O12" s="25">
        <f>(+L12+(+$AG$19/12))*'Cust-PickUps'!$S$18</f>
        <v>42.283241367879093</v>
      </c>
      <c r="P12" s="25">
        <f>(+L12+(+$AG$19/12))*'Cust-PickUps'!$S$19</f>
        <v>2.2445428647490839</v>
      </c>
      <c r="Q12" s="25">
        <f>(+L12+(+$AG$19/12))*'Cust-PickUps'!$S$20</f>
        <v>3.8155491007051614</v>
      </c>
      <c r="R12" s="25"/>
      <c r="S12" s="113"/>
      <c r="U12" s="9">
        <v>44228</v>
      </c>
      <c r="W12" s="54">
        <v>76.28</v>
      </c>
      <c r="X12" s="55">
        <v>7824.15</v>
      </c>
      <c r="Y12" s="15">
        <f t="shared" si="2"/>
        <v>102.57144729942317</v>
      </c>
      <c r="Z12" s="25">
        <f>(+W12+(+$AG$19/12))*'Cust-PickUps'!$BA$18</f>
        <v>45.261619311957539</v>
      </c>
      <c r="AA12" s="25">
        <f>(+W12+(+$AG$19/12))*'Cust-PickUps'!$BA$19</f>
        <v>2.7734776958755947</v>
      </c>
      <c r="AB12" s="25">
        <f>(+W12+(+$AG$19/12))*'Cust-PickUps'!$BA$20</f>
        <v>1.1382363255001975</v>
      </c>
      <c r="AE12" s="9">
        <v>43862</v>
      </c>
      <c r="AG12" s="54">
        <v>77.42</v>
      </c>
      <c r="AH12" s="55">
        <v>9892.06</v>
      </c>
      <c r="AI12" s="15">
        <f t="shared" si="3"/>
        <v>127.77137690519245</v>
      </c>
      <c r="AJ12" s="25">
        <f>(+AG12+(+$AG$19/12))*'Cust-PickUps'!$BA$18</f>
        <v>46.310932883316639</v>
      </c>
      <c r="AK12" s="25">
        <f>(+AG12+(+$AG$19/12))*'Cust-PickUps'!$BA$19</f>
        <v>2.8377760535213006</v>
      </c>
      <c r="AL12" s="25">
        <f>(+AG12+(+$AG$19/12))*'Cust-PickUps'!$BA$20</f>
        <v>1.1646243964953893</v>
      </c>
      <c r="AM12" s="15"/>
      <c r="AN12" s="15"/>
      <c r="AP12" s="9">
        <v>43497</v>
      </c>
      <c r="AQ12">
        <v>1755</v>
      </c>
      <c r="AR12" s="21">
        <v>77</v>
      </c>
      <c r="AS12" s="22">
        <v>9077.4</v>
      </c>
      <c r="AT12" s="22">
        <f t="shared" si="5"/>
        <v>117.88831168831169</v>
      </c>
      <c r="AU12" s="15"/>
      <c r="AV12" s="1">
        <v>43118</v>
      </c>
      <c r="AW12">
        <v>105.18</v>
      </c>
      <c r="AX12">
        <v>8835.19</v>
      </c>
      <c r="AY12" s="16">
        <f t="shared" si="4"/>
        <v>84.000665525765356</v>
      </c>
    </row>
    <row r="13" spans="1:52" x14ac:dyDescent="0.25">
      <c r="A13" s="9">
        <v>44986</v>
      </c>
      <c r="C13" s="25"/>
      <c r="D13" s="25"/>
      <c r="E13" s="25"/>
      <c r="F13" s="25"/>
      <c r="G13" s="25"/>
      <c r="H13" s="25"/>
      <c r="I13" s="25"/>
      <c r="J13" s="9">
        <v>44621</v>
      </c>
      <c r="L13" s="210">
        <v>92.43</v>
      </c>
      <c r="M13" s="55">
        <v>7581.16</v>
      </c>
      <c r="N13" s="25">
        <f t="shared" si="1"/>
        <v>82.020556096505459</v>
      </c>
      <c r="O13" s="25">
        <f>(+L13+(+$AG$19/12))*'Cust-PickUps'!$S$18</f>
        <v>57.134708755866143</v>
      </c>
      <c r="P13" s="25">
        <f>(+L13+(+$AG$19/12))*'Cust-PickUps'!$S$19</f>
        <v>3.0329108819201402</v>
      </c>
      <c r="Q13" s="25">
        <f>(+L13+(+$AG$19/12))*'Cust-PickUps'!$S$20</f>
        <v>5.155713695547063</v>
      </c>
      <c r="R13" s="25"/>
      <c r="S13" s="113"/>
      <c r="U13" s="9">
        <v>44256</v>
      </c>
      <c r="W13" s="54">
        <v>89.61</v>
      </c>
      <c r="X13" s="55">
        <v>8832.9699999999993</v>
      </c>
      <c r="Y13" s="15">
        <f t="shared" si="2"/>
        <v>98.571253208347272</v>
      </c>
      <c r="Z13" s="25">
        <f>(+W13+(+$AG$19/12))*'Cust-PickUps'!$BA$18</f>
        <v>57.531224492849496</v>
      </c>
      <c r="AA13" s="25">
        <f>(+W13+(+$AG$19/12))*'Cust-PickUps'!$BA$19</f>
        <v>3.5253172637854711</v>
      </c>
      <c r="AB13" s="25">
        <f>(+W13+(+$AG$19/12))*'Cust-PickUps'!$BA$20</f>
        <v>1.4467915766983599</v>
      </c>
      <c r="AE13" s="9">
        <v>43891</v>
      </c>
      <c r="AG13" s="54">
        <v>80.540000000000006</v>
      </c>
      <c r="AH13" s="55">
        <v>10276.99</v>
      </c>
      <c r="AI13" s="15">
        <f t="shared" si="3"/>
        <v>127.60106779240128</v>
      </c>
      <c r="AJ13" s="25">
        <f>(+AG13+(+$AG$19/12))*'Cust-PickUps'!$BA$18</f>
        <v>49.182738447036293</v>
      </c>
      <c r="AK13" s="25">
        <f>(+AG13+(+$AG$19/12))*'Cust-PickUps'!$BA$19</f>
        <v>3.013750506025338</v>
      </c>
      <c r="AL13" s="25">
        <f>(+AG13+(+$AG$19/12))*'Cust-PickUps'!$BA$20</f>
        <v>1.2368443802717035</v>
      </c>
      <c r="AM13" s="15"/>
      <c r="AN13" s="15"/>
      <c r="AP13" s="9">
        <v>43525</v>
      </c>
      <c r="AQ13">
        <v>1755</v>
      </c>
      <c r="AR13">
        <v>86</v>
      </c>
      <c r="AS13" s="15">
        <v>10507</v>
      </c>
      <c r="AT13" s="16">
        <f t="shared" si="5"/>
        <v>122.17441860465117</v>
      </c>
      <c r="AU13" s="16"/>
      <c r="AV13" s="1">
        <v>43149</v>
      </c>
      <c r="AW13">
        <v>78.42</v>
      </c>
      <c r="AX13">
        <v>7264.04</v>
      </c>
      <c r="AY13" s="16">
        <f t="shared" si="4"/>
        <v>92.629941341494515</v>
      </c>
    </row>
    <row r="14" spans="1:52" x14ac:dyDescent="0.25">
      <c r="A14" s="9">
        <v>45017</v>
      </c>
      <c r="C14" s="25"/>
      <c r="D14" s="25"/>
      <c r="E14" s="25"/>
      <c r="F14" s="25"/>
      <c r="G14" s="25"/>
      <c r="H14" s="25"/>
      <c r="I14" s="25"/>
      <c r="J14" s="9">
        <v>44652</v>
      </c>
      <c r="L14" s="210">
        <v>81.47</v>
      </c>
      <c r="M14" s="55">
        <v>6431.24</v>
      </c>
      <c r="N14" s="25">
        <f t="shared" si="1"/>
        <v>78.939977905977656</v>
      </c>
      <c r="O14" s="25">
        <f>(+L14+(+$AG$19/12))*'Cust-PickUps'!$S$18</f>
        <v>47.548602597306768</v>
      </c>
      <c r="P14" s="25">
        <f>(+L14+(+$AG$19/12))*'Cust-PickUps'!$S$19</f>
        <v>2.5240467200712131</v>
      </c>
      <c r="Q14" s="25">
        <f>(+L14+(+$AG$19/12))*'Cust-PickUps'!$S$20</f>
        <v>4.2906840159553523</v>
      </c>
      <c r="R14" s="25"/>
      <c r="S14" s="113"/>
      <c r="U14" s="9">
        <v>44287</v>
      </c>
      <c r="W14" s="54">
        <v>86.18</v>
      </c>
      <c r="X14" s="55">
        <v>7647.75</v>
      </c>
      <c r="Y14" s="15">
        <f t="shared" si="2"/>
        <v>88.741587375261076</v>
      </c>
      <c r="Z14" s="25">
        <f>(+W14+(+$AG$19/12))*'Cust-PickUps'!$BA$18</f>
        <v>54.374079273760273</v>
      </c>
      <c r="AA14" s="25">
        <f>(+W14+(+$AG$19/12))*'Cust-PickUps'!$BA$19</f>
        <v>3.3318581701672514</v>
      </c>
      <c r="AB14" s="25">
        <f>(+W14+(+$AG$19/12))*'Cust-PickUps'!$BA$20</f>
        <v>1.3673958894058096</v>
      </c>
      <c r="AE14" s="9">
        <v>43922</v>
      </c>
      <c r="AG14" s="54">
        <v>80.7</v>
      </c>
      <c r="AH14" s="55">
        <v>10259.48</v>
      </c>
      <c r="AI14" s="15">
        <f t="shared" si="3"/>
        <v>127.13110285006195</v>
      </c>
      <c r="AJ14" s="25">
        <f>(+AG14+(+$AG$19/12))*'Cust-PickUps'!$BA$18</f>
        <v>49.330010527227039</v>
      </c>
      <c r="AK14" s="25">
        <f>(+AG14+(+$AG$19/12))*'Cust-PickUps'!$BA$19</f>
        <v>3.0227748369229808</v>
      </c>
      <c r="AL14" s="25">
        <f>(+AG14+(+$AG$19/12))*'Cust-PickUps'!$BA$20</f>
        <v>1.2405479691833092</v>
      </c>
      <c r="AM14" s="15"/>
      <c r="AN14" s="15"/>
      <c r="AP14" s="9">
        <v>43556</v>
      </c>
      <c r="AQ14">
        <v>1755</v>
      </c>
      <c r="AR14">
        <v>87</v>
      </c>
      <c r="AS14" s="15">
        <v>11237</v>
      </c>
      <c r="AT14" s="16">
        <f t="shared" si="5"/>
        <v>129.16091954022988</v>
      </c>
      <c r="AU14" s="16"/>
      <c r="AV14" s="1">
        <v>43177</v>
      </c>
      <c r="AW14">
        <v>86.18</v>
      </c>
      <c r="AX14">
        <v>8852.43</v>
      </c>
      <c r="AY14" s="16">
        <f t="shared" si="4"/>
        <v>102.72023671385472</v>
      </c>
    </row>
    <row r="15" spans="1:52" x14ac:dyDescent="0.25">
      <c r="A15" s="9">
        <v>45047</v>
      </c>
      <c r="C15" s="25"/>
      <c r="D15" s="25"/>
      <c r="E15" s="25"/>
      <c r="F15" s="25"/>
      <c r="G15" s="25"/>
      <c r="H15" s="25"/>
      <c r="I15" s="25"/>
      <c r="J15" s="9">
        <v>44682</v>
      </c>
      <c r="L15" s="210">
        <v>86.8</v>
      </c>
      <c r="M15" s="55">
        <v>6636.74</v>
      </c>
      <c r="N15" s="25">
        <f t="shared" si="1"/>
        <v>76.460138248847926</v>
      </c>
      <c r="O15" s="25">
        <f>(+L15+(+$AG$19/12))*'Cust-PickUps'!$S$18</f>
        <v>52.210458968212002</v>
      </c>
      <c r="P15" s="25">
        <f>(+L15+(+$AG$19/12))*'Cust-PickUps'!$S$19</f>
        <v>2.7715144192185468</v>
      </c>
      <c r="Q15" s="25">
        <f>(+L15+(+$AG$19/12))*'Cust-PickUps'!$S$20</f>
        <v>4.71135994590278</v>
      </c>
      <c r="R15" s="25"/>
      <c r="S15" s="113"/>
      <c r="U15" s="9">
        <v>44317</v>
      </c>
      <c r="W15" s="54">
        <v>85.19</v>
      </c>
      <c r="X15" s="55">
        <v>6696.66</v>
      </c>
      <c r="Y15" s="15">
        <f t="shared" si="2"/>
        <v>78.608522127010218</v>
      </c>
      <c r="Z15" s="25">
        <f>(+W15+(+$AG$19/12))*'Cust-PickUps'!$BA$18</f>
        <v>53.462833277579996</v>
      </c>
      <c r="AA15" s="25">
        <f>(+W15+(+$AG$19/12))*'Cust-PickUps'!$BA$19</f>
        <v>3.276020122738085</v>
      </c>
      <c r="AB15" s="25">
        <f>(+W15+(+$AG$19/12))*'Cust-PickUps'!$BA$20</f>
        <v>1.3444799330152482</v>
      </c>
      <c r="AE15" s="9">
        <v>43952</v>
      </c>
      <c r="AG15" s="54">
        <v>78.22</v>
      </c>
      <c r="AH15" s="55">
        <v>9021.25</v>
      </c>
      <c r="AI15" s="15">
        <f t="shared" si="3"/>
        <v>115.33175658399387</v>
      </c>
      <c r="AJ15" s="25">
        <f>(+AG15+(+$AG$19/12))*'Cust-PickUps'!$BA$18</f>
        <v>47.047293284270395</v>
      </c>
      <c r="AK15" s="25">
        <f>(+AG15+(+$AG$19/12))*'Cust-PickUps'!$BA$19</f>
        <v>2.8828977080095148</v>
      </c>
      <c r="AL15" s="25">
        <f>(+AG15+(+$AG$19/12))*'Cust-PickUps'!$BA$20</f>
        <v>1.1831423410534185</v>
      </c>
      <c r="AM15" s="15"/>
      <c r="AN15" s="15"/>
      <c r="AP15" s="9">
        <v>43586</v>
      </c>
      <c r="AQ15">
        <v>1755</v>
      </c>
      <c r="AR15">
        <v>96</v>
      </c>
      <c r="AS15" s="15">
        <v>12777</v>
      </c>
      <c r="AT15" s="16">
        <f t="shared" si="5"/>
        <v>133.09375</v>
      </c>
      <c r="AU15" s="16"/>
      <c r="AV15" s="1">
        <v>43208</v>
      </c>
      <c r="AW15">
        <v>82.1</v>
      </c>
      <c r="AX15">
        <v>8710.91</v>
      </c>
      <c r="AY15" s="16">
        <f t="shared" si="4"/>
        <v>106.1012180267966</v>
      </c>
    </row>
    <row r="16" spans="1:52" x14ac:dyDescent="0.25">
      <c r="A16" s="9">
        <v>45078</v>
      </c>
      <c r="B16" s="3"/>
      <c r="C16" s="204"/>
      <c r="D16" s="204"/>
      <c r="E16" s="204"/>
      <c r="F16" s="204"/>
      <c r="G16" s="204"/>
      <c r="H16" s="204"/>
      <c r="I16" s="25"/>
      <c r="J16" s="9">
        <v>44713</v>
      </c>
      <c r="L16" s="210">
        <v>91.7</v>
      </c>
      <c r="M16" s="55">
        <v>6993.1</v>
      </c>
      <c r="N16" s="25">
        <f t="shared" si="1"/>
        <v>76.260632497273718</v>
      </c>
      <c r="O16" s="25">
        <f>(+L16+(+$AG$19/12))*'Cust-PickUps'!$S$18</f>
        <v>56.496218108443841</v>
      </c>
      <c r="P16" s="25">
        <f>(+L16+(+$AG$19/12))*'Cust-PickUps'!$S$19</f>
        <v>2.9990175572714435</v>
      </c>
      <c r="Q16" s="25">
        <f>(+L16+(+$AG$19/12))*'Cust-PickUps'!$S$20</f>
        <v>5.0980976676180525</v>
      </c>
      <c r="R16" s="25"/>
      <c r="S16" s="113"/>
      <c r="U16" s="9">
        <v>44348</v>
      </c>
      <c r="W16" s="54">
        <v>94.99</v>
      </c>
      <c r="X16" s="55">
        <f>+W16*80</f>
        <v>7599.2</v>
      </c>
      <c r="Y16" s="15">
        <f t="shared" si="2"/>
        <v>80</v>
      </c>
      <c r="Z16" s="25">
        <f>(+W16+(+$AG$19/12))*'Cust-PickUps'!$BA$18</f>
        <v>62.483248189263499</v>
      </c>
      <c r="AA16" s="25">
        <f>(+W16+(+$AG$19/12))*'Cust-PickUps'!$BA$19</f>
        <v>3.8287603902187146</v>
      </c>
      <c r="AB16" s="25">
        <f>(+W16+(+$AG$19/12))*'Cust-PickUps'!$BA$20</f>
        <v>1.5713247538511064</v>
      </c>
      <c r="AE16" s="9">
        <v>43983</v>
      </c>
      <c r="AG16" s="54">
        <v>86.53</v>
      </c>
      <c r="AH16" s="55">
        <v>10618.25</v>
      </c>
      <c r="AI16" s="15">
        <f t="shared" si="3"/>
        <v>122.71177626256789</v>
      </c>
      <c r="AJ16" s="25">
        <f>(+AG16+(+$AG$19/12))*'Cust-PickUps'!$BA$18</f>
        <v>54.696236949177539</v>
      </c>
      <c r="AK16" s="25">
        <f>(+AG16+(+$AG$19/12))*'Cust-PickUps'!$BA$19</f>
        <v>3.351598894005845</v>
      </c>
      <c r="AL16" s="25">
        <f>(+AG16+(+$AG$19/12))*'Cust-PickUps'!$BA$20</f>
        <v>1.3754974901499473</v>
      </c>
      <c r="AM16" s="15"/>
      <c r="AN16" s="15"/>
      <c r="AP16" s="9">
        <v>43617</v>
      </c>
      <c r="AQ16">
        <v>1755</v>
      </c>
      <c r="AR16">
        <v>82</v>
      </c>
      <c r="AS16" s="18">
        <f>AR16*AT15</f>
        <v>10913.6875</v>
      </c>
      <c r="AT16" s="16">
        <f t="shared" si="5"/>
        <v>133.09375</v>
      </c>
      <c r="AU16" s="16"/>
      <c r="AV16" s="1">
        <v>43238</v>
      </c>
      <c r="AW16">
        <v>93.15</v>
      </c>
      <c r="AX16">
        <v>10594.01</v>
      </c>
      <c r="AY16" s="16">
        <f t="shared" si="4"/>
        <v>113.73064949006978</v>
      </c>
      <c r="AZ16" t="s">
        <v>40</v>
      </c>
    </row>
    <row r="17" spans="1:52" x14ac:dyDescent="0.25">
      <c r="C17" s="57"/>
      <c r="D17" s="57"/>
      <c r="E17" s="57"/>
      <c r="F17" s="57"/>
      <c r="G17" s="57"/>
      <c r="H17" s="57"/>
      <c r="I17" s="57"/>
      <c r="L17" s="57"/>
      <c r="M17" s="57"/>
      <c r="N17" s="57"/>
      <c r="O17" s="57"/>
      <c r="P17" s="57"/>
      <c r="Q17" s="57"/>
      <c r="R17" s="57"/>
      <c r="S17" s="113"/>
      <c r="AV17" s="1">
        <v>43269</v>
      </c>
      <c r="AW17" s="3">
        <v>90.19</v>
      </c>
      <c r="AX17" s="3">
        <v>9790.25</v>
      </c>
      <c r="AY17" s="16">
        <f t="shared" si="4"/>
        <v>108.55139150681894</v>
      </c>
      <c r="AZ17" t="s">
        <v>41</v>
      </c>
    </row>
    <row r="18" spans="1:52" s="11" customFormat="1" ht="15.75" thickBot="1" x14ac:dyDescent="0.3">
      <c r="A18" s="11" t="s">
        <v>9</v>
      </c>
      <c r="B18" s="195">
        <f>SUM(B5:B16)</f>
        <v>0</v>
      </c>
      <c r="C18" s="196">
        <f>SUM(C5:C16)</f>
        <v>499.06294727782006</v>
      </c>
      <c r="D18" s="205">
        <f>SUM(D5:D16)</f>
        <v>57442.210000000006</v>
      </c>
      <c r="E18" s="196">
        <f>D18/C18</f>
        <v>115.10012977986699</v>
      </c>
      <c r="F18" s="196"/>
      <c r="G18" s="196"/>
      <c r="H18" s="196"/>
      <c r="I18" s="196"/>
      <c r="J18" s="11" t="s">
        <v>9</v>
      </c>
      <c r="K18" s="195">
        <f>SUM(K5:K16)</f>
        <v>0</v>
      </c>
      <c r="L18" s="196">
        <f>SUM(L5:L16)</f>
        <v>1044.2800000000002</v>
      </c>
      <c r="M18" s="197">
        <f>SUM(M5:M16)</f>
        <v>67010.37</v>
      </c>
      <c r="N18" s="14">
        <f>AVERAGE(N5:N16)</f>
        <v>64.776320274697312</v>
      </c>
      <c r="O18" s="196"/>
      <c r="P18" s="196"/>
      <c r="Q18" s="196"/>
      <c r="R18" s="196"/>
      <c r="S18" s="198"/>
      <c r="U18" s="11" t="s">
        <v>9</v>
      </c>
      <c r="V18" s="195">
        <f>SUM(V5:V16)</f>
        <v>0</v>
      </c>
      <c r="W18" s="11">
        <f>SUM(W5:W16)</f>
        <v>1058.45</v>
      </c>
      <c r="X18" s="199">
        <f>SUM(X5:X16)</f>
        <v>108238.18999999999</v>
      </c>
      <c r="Y18" s="200">
        <f>X18/W18</f>
        <v>102.26103264207093</v>
      </c>
      <c r="Z18" s="200"/>
      <c r="AA18" s="200"/>
      <c r="AB18" s="200"/>
      <c r="AE18" s="11" t="s">
        <v>9</v>
      </c>
      <c r="AF18" s="195">
        <f>SUM(AF5:AF16)</f>
        <v>0</v>
      </c>
      <c r="AG18" s="11">
        <f>SUM(AG5:AG16)</f>
        <v>1037.93</v>
      </c>
      <c r="AH18" s="199">
        <f>SUM(AH5:AH16)</f>
        <v>134090.72</v>
      </c>
      <c r="AI18" s="200">
        <f>AH18/AG18</f>
        <v>129.19052344570443</v>
      </c>
      <c r="AJ18" s="200"/>
      <c r="AK18" s="200"/>
      <c r="AL18" s="200"/>
      <c r="AM18" s="200"/>
      <c r="AN18" s="200"/>
      <c r="AP18" s="11" t="s">
        <v>9</v>
      </c>
      <c r="AQ18" s="201">
        <f>SUM(AQ5:AQ16)</f>
        <v>21060</v>
      </c>
      <c r="AR18" s="11">
        <f>SUM(AR5:AR16)</f>
        <v>1091</v>
      </c>
      <c r="AS18" s="202">
        <f>SUM(AS5:AS16)</f>
        <v>126098.7475</v>
      </c>
      <c r="AT18" s="200">
        <f>AS18/AR18</f>
        <v>115.58088680109991</v>
      </c>
      <c r="AU18" s="200"/>
      <c r="AW18" s="11">
        <f>SUM(AW12:AW17)</f>
        <v>535.22</v>
      </c>
      <c r="AX18" s="203">
        <f>SUM(AX12:AX17)</f>
        <v>54046.83</v>
      </c>
      <c r="AZ18" s="196">
        <f>AX18/AW18</f>
        <v>100.9805874219947</v>
      </c>
    </row>
    <row r="19" spans="1:52" ht="15.75" thickTop="1" x14ac:dyDescent="0.25">
      <c r="A19" t="s">
        <v>75</v>
      </c>
      <c r="C19" s="109">
        <f>L19/2</f>
        <v>-165.893</v>
      </c>
      <c r="D19" s="57"/>
      <c r="E19" s="57"/>
      <c r="F19" s="57"/>
      <c r="G19" s="57"/>
      <c r="H19" s="57"/>
      <c r="I19" s="57"/>
      <c r="J19" t="s">
        <v>75</v>
      </c>
      <c r="L19" s="109">
        <v>-331.786</v>
      </c>
      <c r="M19" s="57"/>
      <c r="N19" s="57"/>
      <c r="O19" s="57"/>
      <c r="P19" s="57"/>
      <c r="Q19" s="57"/>
      <c r="R19" s="57"/>
      <c r="S19" s="113"/>
      <c r="U19" t="s">
        <v>75</v>
      </c>
      <c r="W19" s="8">
        <f>+AG19</f>
        <v>-325.27999999999997</v>
      </c>
      <c r="AE19" t="s">
        <v>75</v>
      </c>
      <c r="AG19" s="8">
        <f>+AR19</f>
        <v>-325.27999999999997</v>
      </c>
      <c r="AR19" s="8">
        <f>AY24</f>
        <v>-325.27999999999997</v>
      </c>
      <c r="AW19">
        <f>SUM(AW5:AW17)</f>
        <v>1084.26</v>
      </c>
      <c r="AX19" s="10">
        <f>SUM(AX5:AX17)</f>
        <v>82935.740000000005</v>
      </c>
    </row>
    <row r="20" spans="1:52" ht="15.75" thickBot="1" x14ac:dyDescent="0.3">
      <c r="A20" s="206" t="s">
        <v>76</v>
      </c>
      <c r="B20" s="206"/>
      <c r="C20" s="207">
        <f>SUM(C18:C19)</f>
        <v>333.16994727782003</v>
      </c>
      <c r="D20" s="207">
        <f>C20*E20</f>
        <v>38347.904170428526</v>
      </c>
      <c r="E20" s="207">
        <f>E18</f>
        <v>115.10012977986699</v>
      </c>
      <c r="F20" s="205">
        <f>+D20*'Cust-PickUps'!I18</f>
        <v>33446.498497413653</v>
      </c>
      <c r="G20" s="207">
        <f>+D20*'Cust-PickUps'!I19</f>
        <v>1811.9511465850208</v>
      </c>
      <c r="H20" s="207">
        <f>+D20*'Cust-PickUps'!I20</f>
        <v>3089.4545264298526</v>
      </c>
      <c r="I20" s="57"/>
      <c r="J20" t="s">
        <v>76</v>
      </c>
      <c r="L20" s="57">
        <f>SUM(L18:L19)</f>
        <v>712.49400000000014</v>
      </c>
      <c r="M20" s="57">
        <f>L20*N20</f>
        <v>46152.739537800197</v>
      </c>
      <c r="N20" s="57">
        <f>N18</f>
        <v>64.776320274697312</v>
      </c>
      <c r="O20" s="108">
        <f>+M20*'Cust-PickUps'!S18</f>
        <v>40367.250065482913</v>
      </c>
      <c r="P20" s="57">
        <f>+M20*'Cust-PickUps'!S19</f>
        <v>2142.8353213443911</v>
      </c>
      <c r="Q20" s="57">
        <f>+M20*'Cust-PickUps'!S20</f>
        <v>3642.6541509728968</v>
      </c>
      <c r="R20" s="57"/>
      <c r="S20" s="113"/>
      <c r="U20" t="s">
        <v>76</v>
      </c>
      <c r="W20">
        <f>SUM(W18:W19)</f>
        <v>733.17000000000007</v>
      </c>
      <c r="X20" s="14">
        <f>W20*Y20</f>
        <v>74974.721302187158</v>
      </c>
      <c r="Y20" s="14">
        <f>Y18</f>
        <v>102.26103264207093</v>
      </c>
      <c r="Z20" s="56">
        <f>+X20*'Cust-PickUps'!AO18</f>
        <v>65612.97889608382</v>
      </c>
      <c r="AA20" s="14">
        <f>+X20*'Cust-PickUps'!AO19</f>
        <v>3471.3843485718762</v>
      </c>
      <c r="AB20" s="14">
        <f>+X20*'Cust-PickUps'!AO20</f>
        <v>5890.3580575314636</v>
      </c>
      <c r="AE20" t="s">
        <v>76</v>
      </c>
      <c r="AG20">
        <f>SUM(AG18:AG19)</f>
        <v>712.65000000000009</v>
      </c>
      <c r="AH20" s="14">
        <f>AG20*AI20</f>
        <v>92067.626533581279</v>
      </c>
      <c r="AI20" s="14">
        <f>AI18</f>
        <v>129.19052344570443</v>
      </c>
      <c r="AJ20" s="56">
        <f>+AH20*'Cust-PickUps'!BA18</f>
        <v>84743.692986410722</v>
      </c>
      <c r="AK20" s="14">
        <f>+AH20*'Cust-PickUps'!BA19</f>
        <v>5192.804542497799</v>
      </c>
      <c r="AL20" s="14">
        <f>+AH20*'Cust-PickUps'!BA20</f>
        <v>2131.1290046727504</v>
      </c>
      <c r="AM20" s="14"/>
      <c r="AN20" s="14"/>
      <c r="AR20">
        <f>SUM(AR18:AR19)</f>
        <v>765.72</v>
      </c>
      <c r="AS20" s="19">
        <f>AR20*AT20</f>
        <v>88502.596641338227</v>
      </c>
      <c r="AT20" s="14">
        <f>AT18</f>
        <v>115.58088680109991</v>
      </c>
      <c r="AU20" s="14"/>
      <c r="AV20" t="s">
        <v>42</v>
      </c>
      <c r="AW20" s="4"/>
      <c r="AZ20" s="5">
        <f>6491.99/478.77</f>
        <v>13.559725964450571</v>
      </c>
    </row>
    <row r="21" spans="1:52" ht="15.75" thickTop="1" x14ac:dyDescent="0.25">
      <c r="C21" s="57">
        <f>C20-SUM(F5:H10)</f>
        <v>0</v>
      </c>
      <c r="D21" s="57"/>
      <c r="E21" s="57"/>
      <c r="F21" s="57"/>
      <c r="G21" s="57"/>
      <c r="H21" s="57"/>
      <c r="I21" s="57"/>
      <c r="L21" s="57"/>
      <c r="M21" s="57"/>
      <c r="N21" s="57"/>
      <c r="O21" s="57"/>
      <c r="P21" s="57"/>
      <c r="Q21" s="57"/>
      <c r="R21" s="57"/>
      <c r="S21" s="113"/>
      <c r="AV21" t="s">
        <v>43</v>
      </c>
      <c r="AZ21" s="6">
        <f>AZ18-AZ20</f>
        <v>87.420861457544135</v>
      </c>
    </row>
    <row r="22" spans="1:52" x14ac:dyDescent="0.25">
      <c r="C22" s="57"/>
      <c r="D22" s="57"/>
      <c r="E22" s="57"/>
      <c r="F22" s="57"/>
      <c r="G22" s="57"/>
      <c r="H22" s="57">
        <f>+F20+G20+H20</f>
        <v>38347.904170428526</v>
      </c>
      <c r="I22" s="57"/>
      <c r="L22" s="57"/>
      <c r="M22" s="57"/>
      <c r="N22" s="57"/>
      <c r="O22" s="57"/>
      <c r="P22" s="57"/>
      <c r="Q22" s="57">
        <f>+O20+P20+Q20</f>
        <v>46152.739537800204</v>
      </c>
      <c r="R22" s="57"/>
      <c r="S22" s="113"/>
      <c r="AB22" s="14">
        <f>+Z20+AA20+AB20</f>
        <v>74974.721302187172</v>
      </c>
      <c r="AL22" s="14">
        <f>+AJ20+AK20+AL20</f>
        <v>92067.626533581279</v>
      </c>
    </row>
    <row r="23" spans="1:52" x14ac:dyDescent="0.25">
      <c r="H23" s="6">
        <f>H22-D20</f>
        <v>0</v>
      </c>
      <c r="S23" s="111"/>
      <c r="AV23" t="s">
        <v>44</v>
      </c>
      <c r="AY23">
        <v>1084.26</v>
      </c>
    </row>
    <row r="24" spans="1:52" x14ac:dyDescent="0.25">
      <c r="S24" s="111"/>
      <c r="AV24" t="s">
        <v>45</v>
      </c>
      <c r="AY24" s="20">
        <f>-325.28</f>
        <v>-325.27999999999997</v>
      </c>
    </row>
    <row r="25" spans="1:52" x14ac:dyDescent="0.25">
      <c r="S25" s="111"/>
      <c r="AV25" t="s">
        <v>46</v>
      </c>
      <c r="AY25">
        <f>SUM(AY23:AY24)</f>
        <v>758.98</v>
      </c>
    </row>
    <row r="26" spans="1:52" ht="15.75" thickBot="1" x14ac:dyDescent="0.3">
      <c r="AP26" s="1"/>
      <c r="AV26" t="s">
        <v>47</v>
      </c>
      <c r="AZ26" s="7">
        <f>AZ21*AY25</f>
        <v>66350.685429046847</v>
      </c>
    </row>
    <row r="27" spans="1:52" ht="16.5" thickTop="1" thickBot="1" x14ac:dyDescent="0.3">
      <c r="AP27" s="1"/>
      <c r="AV27" t="s">
        <v>48</v>
      </c>
      <c r="AZ27" s="23">
        <f>AZ26/12</f>
        <v>5529.2237857539039</v>
      </c>
    </row>
    <row r="28" spans="1:52" ht="15.75" thickTop="1" x14ac:dyDescent="0.25">
      <c r="AP28" s="1"/>
      <c r="AV28" t="s">
        <v>49</v>
      </c>
      <c r="AZ28">
        <v>1755</v>
      </c>
    </row>
    <row r="29" spans="1:52" x14ac:dyDescent="0.25">
      <c r="AP29" s="1"/>
      <c r="AV29" t="s">
        <v>50</v>
      </c>
      <c r="AZ29" s="4">
        <f>AZ27/AZ28</f>
        <v>3.1505548636774381</v>
      </c>
    </row>
    <row r="30" spans="1:52" x14ac:dyDescent="0.25">
      <c r="AP30" s="1"/>
    </row>
    <row r="31" spans="1:52" x14ac:dyDescent="0.25">
      <c r="AP31" s="1"/>
    </row>
    <row r="37" spans="5:5" x14ac:dyDescent="0.25">
      <c r="E37">
        <v>5</v>
      </c>
    </row>
  </sheetData>
  <pageMargins left="0.7" right="0.7" top="0.75" bottom="0.75" header="0.3" footer="0.3"/>
  <pageSetup scale="94" orientation="landscape" r:id="rId1"/>
  <colBreaks count="1" manualBreakCount="1">
    <brk id="4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8"/>
  <sheetViews>
    <sheetView zoomScaleNormal="100" workbookViewId="0">
      <selection activeCell="A24" sqref="A24"/>
    </sheetView>
  </sheetViews>
  <sheetFormatPr defaultColWidth="9" defaultRowHeight="15" x14ac:dyDescent="0.25"/>
  <cols>
    <col min="1" max="2" width="3.7109375" style="58" customWidth="1"/>
    <col min="3" max="3" width="27.28515625" style="58" bestFit="1" customWidth="1"/>
    <col min="4" max="4" width="16.42578125" style="58" customWidth="1"/>
    <col min="5" max="7" width="12.7109375" style="58" customWidth="1"/>
    <col min="8" max="8" width="11.140625" style="58" customWidth="1"/>
    <col min="9" max="9" width="13.42578125" style="58" bestFit="1" customWidth="1"/>
    <col min="10" max="10" width="43.85546875" style="58" customWidth="1"/>
    <col min="11" max="11" width="9" style="58"/>
    <col min="12" max="12" width="3.7109375" style="58" customWidth="1"/>
    <col min="13" max="13" width="27.28515625" style="58" bestFit="1" customWidth="1"/>
    <col min="14" max="14" width="16.42578125" style="58" customWidth="1"/>
    <col min="15" max="17" width="12.7109375" style="58" customWidth="1"/>
    <col min="18" max="18" width="11.140625" style="58" customWidth="1"/>
    <col min="19" max="19" width="13.42578125" style="58" bestFit="1" customWidth="1"/>
    <col min="20" max="23" width="9" style="58"/>
    <col min="24" max="24" width="3.7109375" style="58" customWidth="1"/>
    <col min="25" max="25" width="27.140625" style="58" bestFit="1" customWidth="1"/>
    <col min="26" max="26" width="16.42578125" style="58" customWidth="1"/>
    <col min="27" max="29" width="12.7109375" style="58" customWidth="1"/>
    <col min="30" max="30" width="11.140625" style="58" customWidth="1"/>
    <col min="31" max="35" width="9" style="58"/>
    <col min="36" max="36" width="3.28515625" style="58" customWidth="1"/>
    <col min="37" max="37" width="27.140625" style="58" bestFit="1" customWidth="1"/>
    <col min="38" max="38" width="16.42578125" style="58" customWidth="1"/>
    <col min="39" max="41" width="12.7109375" style="58" customWidth="1"/>
    <col min="42" max="42" width="11.140625" style="58" customWidth="1"/>
    <col min="43" max="16384" width="9" style="58"/>
  </cols>
  <sheetData>
    <row r="1" spans="1:53" ht="23.25" x14ac:dyDescent="0.35">
      <c r="A1" s="238" t="s">
        <v>61</v>
      </c>
      <c r="B1" s="238"/>
      <c r="C1" s="238"/>
      <c r="D1" s="238"/>
      <c r="E1" s="238"/>
      <c r="F1" s="238"/>
      <c r="G1" s="238"/>
      <c r="H1" s="238"/>
      <c r="K1" s="238" t="s">
        <v>61</v>
      </c>
      <c r="L1" s="238"/>
      <c r="M1" s="238"/>
      <c r="N1" s="238"/>
      <c r="O1" s="238"/>
      <c r="P1" s="238"/>
      <c r="Q1" s="238"/>
      <c r="R1" s="238"/>
      <c r="V1" s="238" t="s">
        <v>61</v>
      </c>
      <c r="W1" s="238"/>
      <c r="X1" s="238"/>
      <c r="Y1" s="238"/>
      <c r="Z1" s="238"/>
      <c r="AA1" s="238"/>
      <c r="AB1" s="238"/>
      <c r="AH1" s="238" t="s">
        <v>61</v>
      </c>
      <c r="AI1" s="238"/>
      <c r="AJ1" s="238"/>
      <c r="AK1" s="238"/>
      <c r="AL1" s="238"/>
      <c r="AM1" s="238"/>
      <c r="AN1" s="238"/>
      <c r="AT1" s="238" t="s">
        <v>61</v>
      </c>
      <c r="AU1" s="238"/>
      <c r="AV1" s="238"/>
      <c r="AW1" s="238"/>
      <c r="AX1" s="238"/>
      <c r="AY1" s="238"/>
      <c r="AZ1" s="238"/>
    </row>
    <row r="2" spans="1:53" ht="18.75" x14ac:dyDescent="0.3">
      <c r="A2" s="239" t="s">
        <v>107</v>
      </c>
      <c r="B2" s="239"/>
      <c r="C2" s="239"/>
      <c r="D2" s="239"/>
      <c r="E2" s="239"/>
      <c r="F2" s="239"/>
      <c r="G2" s="239"/>
      <c r="H2" s="239"/>
      <c r="K2" s="239" t="s">
        <v>107</v>
      </c>
      <c r="L2" s="239"/>
      <c r="M2" s="239"/>
      <c r="N2" s="239"/>
      <c r="O2" s="239"/>
      <c r="P2" s="239"/>
      <c r="Q2" s="239"/>
      <c r="R2" s="239"/>
      <c r="V2" s="239" t="s">
        <v>62</v>
      </c>
      <c r="W2" s="239"/>
      <c r="X2" s="239"/>
      <c r="Y2" s="239"/>
      <c r="Z2" s="239"/>
      <c r="AA2" s="239"/>
      <c r="AB2" s="239"/>
      <c r="AH2" s="239" t="s">
        <v>62</v>
      </c>
      <c r="AI2" s="239"/>
      <c r="AJ2" s="239"/>
      <c r="AK2" s="239"/>
      <c r="AL2" s="239"/>
      <c r="AM2" s="239"/>
      <c r="AN2" s="239"/>
      <c r="AT2" s="239" t="s">
        <v>62</v>
      </c>
      <c r="AU2" s="239"/>
      <c r="AV2" s="239"/>
      <c r="AW2" s="239"/>
      <c r="AX2" s="239"/>
      <c r="AY2" s="239"/>
      <c r="AZ2" s="239"/>
    </row>
    <row r="3" spans="1:53" ht="15.75" x14ac:dyDescent="0.25">
      <c r="A3" s="240" t="s">
        <v>110</v>
      </c>
      <c r="B3" s="240"/>
      <c r="C3" s="240"/>
      <c r="D3" s="240"/>
      <c r="E3" s="240"/>
      <c r="F3" s="240"/>
      <c r="G3" s="240"/>
      <c r="H3" s="240"/>
      <c r="K3" s="240" t="s">
        <v>104</v>
      </c>
      <c r="L3" s="240"/>
      <c r="M3" s="240"/>
      <c r="N3" s="240"/>
      <c r="O3" s="240"/>
      <c r="P3" s="240"/>
      <c r="Q3" s="240"/>
      <c r="R3" s="240"/>
      <c r="V3" s="240" t="s">
        <v>99</v>
      </c>
      <c r="W3" s="240"/>
      <c r="X3" s="240"/>
      <c r="Y3" s="240"/>
      <c r="Z3" s="240"/>
      <c r="AA3" s="240"/>
      <c r="AB3" s="240"/>
      <c r="AH3" s="240" t="s">
        <v>99</v>
      </c>
      <c r="AI3" s="240"/>
      <c r="AJ3" s="240"/>
      <c r="AK3" s="240"/>
      <c r="AL3" s="240"/>
      <c r="AM3" s="240"/>
      <c r="AN3" s="240"/>
      <c r="AT3" s="240" t="s">
        <v>63</v>
      </c>
      <c r="AU3" s="240"/>
      <c r="AV3" s="240"/>
      <c r="AW3" s="240"/>
      <c r="AX3" s="240"/>
      <c r="AY3" s="240"/>
      <c r="AZ3" s="240"/>
    </row>
    <row r="4" spans="1:53" x14ac:dyDescent="0.25">
      <c r="AT4" s="59"/>
      <c r="AU4" s="59"/>
      <c r="AW4" s="59"/>
      <c r="AX4" s="59"/>
      <c r="AY4" s="60"/>
    </row>
    <row r="5" spans="1:53" x14ac:dyDescent="0.25">
      <c r="AT5" s="59"/>
      <c r="AU5" s="59"/>
      <c r="AV5" s="61"/>
      <c r="AW5" s="59"/>
      <c r="AX5" s="59"/>
      <c r="AY5" s="62"/>
    </row>
    <row r="6" spans="1:53" x14ac:dyDescent="0.25">
      <c r="AT6" s="59"/>
      <c r="AU6" s="59"/>
      <c r="AW6" s="59"/>
      <c r="AX6" s="59"/>
      <c r="AY6" s="60"/>
    </row>
    <row r="7" spans="1:53" ht="15" customHeight="1" x14ac:dyDescent="0.25">
      <c r="AT7" s="59"/>
      <c r="AU7" s="59"/>
      <c r="AW7" s="59"/>
      <c r="AX7" s="59"/>
      <c r="AY7" s="60"/>
    </row>
    <row r="8" spans="1:53" ht="15.75" x14ac:dyDescent="0.25">
      <c r="C8" s="63" t="s">
        <v>52</v>
      </c>
      <c r="D8" s="64" t="s">
        <v>10</v>
      </c>
      <c r="E8" s="63" t="s">
        <v>53</v>
      </c>
      <c r="F8" s="63" t="s">
        <v>54</v>
      </c>
      <c r="G8" s="63" t="s">
        <v>55</v>
      </c>
      <c r="H8" s="63" t="s">
        <v>70</v>
      </c>
      <c r="I8" s="63" t="s">
        <v>48</v>
      </c>
      <c r="M8" s="63" t="s">
        <v>52</v>
      </c>
      <c r="N8" s="64" t="s">
        <v>10</v>
      </c>
      <c r="O8" s="63" t="s">
        <v>53</v>
      </c>
      <c r="P8" s="63" t="s">
        <v>54</v>
      </c>
      <c r="Q8" s="63" t="s">
        <v>55</v>
      </c>
      <c r="R8" s="63" t="s">
        <v>70</v>
      </c>
      <c r="S8" s="63" t="s">
        <v>48</v>
      </c>
      <c r="W8" s="63" t="s">
        <v>52</v>
      </c>
      <c r="X8" s="64" t="s">
        <v>10</v>
      </c>
      <c r="Y8" s="63" t="s">
        <v>53</v>
      </c>
      <c r="Z8" s="63" t="s">
        <v>54</v>
      </c>
      <c r="AA8" s="63" t="s">
        <v>55</v>
      </c>
      <c r="AB8" s="63" t="s">
        <v>70</v>
      </c>
      <c r="AC8" s="63" t="s">
        <v>48</v>
      </c>
      <c r="AI8" s="63" t="s">
        <v>52</v>
      </c>
      <c r="AJ8" s="64" t="s">
        <v>10</v>
      </c>
      <c r="AK8" s="63" t="s">
        <v>53</v>
      </c>
      <c r="AL8" s="63" t="s">
        <v>54</v>
      </c>
      <c r="AM8" s="63" t="s">
        <v>55</v>
      </c>
      <c r="AN8" s="63" t="s">
        <v>70</v>
      </c>
      <c r="AO8" s="63" t="s">
        <v>48</v>
      </c>
      <c r="AU8" s="63" t="s">
        <v>52</v>
      </c>
      <c r="AV8" s="64" t="s">
        <v>10</v>
      </c>
      <c r="AW8" s="63" t="s">
        <v>53</v>
      </c>
      <c r="AX8" s="63" t="s">
        <v>54</v>
      </c>
      <c r="AY8" s="63" t="s">
        <v>55</v>
      </c>
      <c r="AZ8" s="63" t="s">
        <v>70</v>
      </c>
      <c r="BA8" s="63" t="s">
        <v>48</v>
      </c>
    </row>
    <row r="9" spans="1:53" ht="16.5" thickBot="1" x14ac:dyDescent="0.3">
      <c r="C9" s="105"/>
      <c r="D9" s="106"/>
      <c r="E9" s="105" t="s">
        <v>56</v>
      </c>
      <c r="F9" s="105" t="s">
        <v>56</v>
      </c>
      <c r="G9" s="105"/>
      <c r="H9" s="107" t="s">
        <v>71</v>
      </c>
      <c r="I9" s="105" t="s">
        <v>71</v>
      </c>
      <c r="M9" s="105"/>
      <c r="N9" s="106"/>
      <c r="O9" s="105" t="s">
        <v>56</v>
      </c>
      <c r="P9" s="105" t="s">
        <v>56</v>
      </c>
      <c r="Q9" s="105"/>
      <c r="R9" s="107" t="s">
        <v>71</v>
      </c>
      <c r="S9" s="105" t="s">
        <v>71</v>
      </c>
      <c r="W9" s="65"/>
      <c r="X9" s="66"/>
      <c r="Y9" s="65" t="s">
        <v>56</v>
      </c>
      <c r="Z9" s="65" t="s">
        <v>56</v>
      </c>
      <c r="AA9" s="65"/>
      <c r="AB9" s="59" t="s">
        <v>71</v>
      </c>
      <c r="AC9" s="67" t="s">
        <v>71</v>
      </c>
      <c r="AI9" s="65"/>
      <c r="AJ9" s="66"/>
      <c r="AK9" s="65" t="s">
        <v>56</v>
      </c>
      <c r="AL9" s="65" t="s">
        <v>56</v>
      </c>
      <c r="AM9" s="65"/>
      <c r="AN9" s="59" t="s">
        <v>71</v>
      </c>
      <c r="AO9" s="67" t="s">
        <v>71</v>
      </c>
      <c r="AU9" s="65"/>
      <c r="AV9" s="66"/>
      <c r="AW9" s="65" t="s">
        <v>56</v>
      </c>
      <c r="AX9" s="65" t="s">
        <v>56</v>
      </c>
      <c r="AY9" s="65"/>
      <c r="AZ9" s="58" t="s">
        <v>71</v>
      </c>
      <c r="BA9" s="67" t="s">
        <v>71</v>
      </c>
    </row>
    <row r="10" spans="1:53" ht="15.75" x14ac:dyDescent="0.25">
      <c r="AU10" s="67"/>
      <c r="AV10" s="68"/>
      <c r="AW10" s="68"/>
      <c r="AX10" s="68"/>
      <c r="AY10" s="68"/>
    </row>
    <row r="11" spans="1:53" ht="15.75" x14ac:dyDescent="0.25">
      <c r="C11" s="69" t="s">
        <v>7</v>
      </c>
      <c r="D11" s="183">
        <f>'Customer Summary'!N8</f>
        <v>1761.3333333333333</v>
      </c>
      <c r="E11" s="185">
        <f>+D11*4.33</f>
        <v>7626.5733333333328</v>
      </c>
      <c r="F11" s="186">
        <f>E11*12</f>
        <v>91518.87999999999</v>
      </c>
      <c r="G11" s="72" t="s">
        <v>57</v>
      </c>
      <c r="H11" s="58">
        <v>68</v>
      </c>
      <c r="I11" s="73">
        <f>H11*E11</f>
        <v>518606.98666666663</v>
      </c>
      <c r="M11" s="69" t="s">
        <v>7</v>
      </c>
      <c r="N11" s="100">
        <v>1752</v>
      </c>
      <c r="O11" s="97">
        <v>7586.16</v>
      </c>
      <c r="P11" s="97">
        <v>91033.919999999998</v>
      </c>
      <c r="Q11" s="72" t="s">
        <v>57</v>
      </c>
      <c r="R11" s="58">
        <v>68</v>
      </c>
      <c r="S11" s="73">
        <v>515858.88</v>
      </c>
      <c r="W11" s="74" t="s">
        <v>7</v>
      </c>
      <c r="X11" s="70">
        <v>1720</v>
      </c>
      <c r="Y11" s="71">
        <f>+X11*4.33</f>
        <v>7447.6</v>
      </c>
      <c r="Z11" s="71">
        <f>+Y11*12</f>
        <v>89371.200000000012</v>
      </c>
      <c r="AA11" s="72" t="s">
        <v>57</v>
      </c>
      <c r="AB11" s="58">
        <v>68</v>
      </c>
      <c r="AC11" s="58">
        <f>+AB11*Y11</f>
        <v>506436.80000000005</v>
      </c>
      <c r="AE11" s="58">
        <f>X11*12</f>
        <v>20640</v>
      </c>
      <c r="AI11" s="74" t="s">
        <v>7</v>
      </c>
      <c r="AJ11" s="70">
        <v>1720</v>
      </c>
      <c r="AK11" s="71">
        <f>+AJ11*4.33</f>
        <v>7447.6</v>
      </c>
      <c r="AL11" s="71">
        <f>+AK11*12</f>
        <v>89371.200000000012</v>
      </c>
      <c r="AM11" s="72" t="s">
        <v>57</v>
      </c>
      <c r="AN11" s="58">
        <v>68</v>
      </c>
      <c r="AO11" s="58">
        <f>+AN11*AK11</f>
        <v>506436.80000000005</v>
      </c>
      <c r="AQ11" s="58">
        <f>AJ11*12</f>
        <v>20640</v>
      </c>
      <c r="AU11" s="74" t="s">
        <v>7</v>
      </c>
      <c r="AV11" s="70">
        <v>1755</v>
      </c>
      <c r="AW11" s="71">
        <f>+AV11*4.33</f>
        <v>7599.1500000000005</v>
      </c>
      <c r="AX11" s="71">
        <f>+AW11*12</f>
        <v>91189.8</v>
      </c>
      <c r="AY11" s="72" t="s">
        <v>57</v>
      </c>
      <c r="AZ11" s="58">
        <v>68</v>
      </c>
      <c r="BA11" s="58">
        <f>+AZ11*AW11</f>
        <v>516742.2</v>
      </c>
    </row>
    <row r="12" spans="1:53" ht="15.75" x14ac:dyDescent="0.25">
      <c r="C12" s="69" t="s">
        <v>64</v>
      </c>
      <c r="D12" s="183">
        <f>'Customer Summary'!N9</f>
        <v>94.166666666666671</v>
      </c>
      <c r="E12" s="185">
        <f>+D12*4.33</f>
        <v>407.74166666666667</v>
      </c>
      <c r="F12" s="186">
        <f t="shared" ref="F12:F15" si="0">E12*12</f>
        <v>4892.8999999999996</v>
      </c>
      <c r="G12" s="76" t="s">
        <v>58</v>
      </c>
      <c r="H12" s="58">
        <v>68</v>
      </c>
      <c r="I12" s="73">
        <f t="shared" ref="I12:I15" si="1">H12*E12</f>
        <v>27726.433333333334</v>
      </c>
      <c r="M12" s="69" t="s">
        <v>64</v>
      </c>
      <c r="N12" s="100">
        <v>91.583333333333329</v>
      </c>
      <c r="O12" s="97">
        <v>396.55583333333334</v>
      </c>
      <c r="P12" s="97">
        <v>4758.67</v>
      </c>
      <c r="Q12" s="76" t="s">
        <v>58</v>
      </c>
      <c r="R12" s="58">
        <v>68</v>
      </c>
      <c r="S12" s="73">
        <v>27088.48</v>
      </c>
      <c r="W12" s="74" t="s">
        <v>64</v>
      </c>
      <c r="X12" s="70">
        <v>91</v>
      </c>
      <c r="Y12" s="71">
        <f>+X12*4.33</f>
        <v>394.03000000000003</v>
      </c>
      <c r="Z12" s="75">
        <f>+Y12*12</f>
        <v>4728.3600000000006</v>
      </c>
      <c r="AA12" s="76" t="s">
        <v>58</v>
      </c>
      <c r="AB12" s="58">
        <v>68</v>
      </c>
      <c r="AC12" s="58">
        <f t="shared" ref="AC12:AC14" si="2">+AB12*Y12</f>
        <v>26794.04</v>
      </c>
      <c r="AI12" s="74" t="s">
        <v>64</v>
      </c>
      <c r="AJ12" s="70">
        <v>91</v>
      </c>
      <c r="AK12" s="71">
        <f>+AJ12*4.33</f>
        <v>394.03000000000003</v>
      </c>
      <c r="AL12" s="75">
        <f>+AK12*12</f>
        <v>4728.3600000000006</v>
      </c>
      <c r="AM12" s="76" t="s">
        <v>58</v>
      </c>
      <c r="AN12" s="58">
        <v>68</v>
      </c>
      <c r="AO12" s="58">
        <f t="shared" ref="AO12:AO14" si="3">+AN12*AK12</f>
        <v>26794.04</v>
      </c>
      <c r="AU12" s="74" t="s">
        <v>64</v>
      </c>
      <c r="AV12" s="70">
        <v>90</v>
      </c>
      <c r="AW12" s="71">
        <f>+AV12*4.33</f>
        <v>389.7</v>
      </c>
      <c r="AX12" s="75">
        <f>+AW12*12</f>
        <v>4676.3999999999996</v>
      </c>
      <c r="AY12" s="76" t="s">
        <v>58</v>
      </c>
      <c r="AZ12" s="58">
        <v>68</v>
      </c>
      <c r="BA12" s="58">
        <f t="shared" ref="BA12:BA14" si="4">+AZ12*AW12</f>
        <v>26499.599999999999</v>
      </c>
    </row>
    <row r="13" spans="1:53" ht="15.75" x14ac:dyDescent="0.25">
      <c r="C13" s="69" t="s">
        <v>65</v>
      </c>
      <c r="D13" s="183">
        <f>'Customer Summary'!N10</f>
        <v>2.5</v>
      </c>
      <c r="E13" s="185">
        <f>+D13*2.17</f>
        <v>5.4249999999999998</v>
      </c>
      <c r="F13" s="186">
        <f t="shared" si="0"/>
        <v>65.099999999999994</v>
      </c>
      <c r="G13" s="76" t="s">
        <v>58</v>
      </c>
      <c r="H13" s="58">
        <v>68</v>
      </c>
      <c r="I13" s="73">
        <f t="shared" si="1"/>
        <v>368.9</v>
      </c>
      <c r="M13" s="69" t="s">
        <v>65</v>
      </c>
      <c r="N13" s="101">
        <v>2.25</v>
      </c>
      <c r="O13" s="97">
        <v>4.8825000000000003</v>
      </c>
      <c r="P13" s="97">
        <v>58.59</v>
      </c>
      <c r="Q13" s="76" t="s">
        <v>58</v>
      </c>
      <c r="R13" s="58">
        <v>68</v>
      </c>
      <c r="S13" s="73">
        <v>295.12</v>
      </c>
      <c r="W13" s="74" t="s">
        <v>65</v>
      </c>
      <c r="X13" s="77"/>
      <c r="Y13" s="71">
        <f>+X13*2.17</f>
        <v>0</v>
      </c>
      <c r="Z13" s="75">
        <f t="shared" ref="Z13:Z15" si="5">+Y13*12</f>
        <v>0</v>
      </c>
      <c r="AA13" s="76" t="s">
        <v>58</v>
      </c>
      <c r="AB13" s="58">
        <v>68</v>
      </c>
      <c r="AC13" s="58">
        <f t="shared" si="2"/>
        <v>0</v>
      </c>
      <c r="AI13" s="74" t="s">
        <v>65</v>
      </c>
      <c r="AJ13" s="77"/>
      <c r="AK13" s="71">
        <f>+AJ13*2.17</f>
        <v>0</v>
      </c>
      <c r="AL13" s="75">
        <f t="shared" ref="AL13:AL15" si="6">+AK13*12</f>
        <v>0</v>
      </c>
      <c r="AM13" s="76" t="s">
        <v>58</v>
      </c>
      <c r="AN13" s="58">
        <v>68</v>
      </c>
      <c r="AO13" s="58">
        <f t="shared" si="3"/>
        <v>0</v>
      </c>
      <c r="AU13" s="74" t="s">
        <v>65</v>
      </c>
      <c r="AV13" s="70">
        <v>35</v>
      </c>
      <c r="AW13" s="71">
        <f>+AV13*2.17</f>
        <v>75.95</v>
      </c>
      <c r="AX13" s="75">
        <f t="shared" ref="AX13:AX15" si="7">+AW13*12</f>
        <v>911.40000000000009</v>
      </c>
      <c r="AY13" s="76" t="s">
        <v>58</v>
      </c>
      <c r="AZ13" s="58">
        <v>68</v>
      </c>
      <c r="BA13" s="58">
        <f t="shared" si="4"/>
        <v>5164.6000000000004</v>
      </c>
    </row>
    <row r="14" spans="1:53" ht="15.75" x14ac:dyDescent="0.25">
      <c r="C14" s="69" t="s">
        <v>66</v>
      </c>
      <c r="D14" s="183">
        <f>'Customer Summary'!N11</f>
        <v>43</v>
      </c>
      <c r="E14" s="185">
        <f t="shared" ref="E14" si="8">+D14*4.33</f>
        <v>186.19</v>
      </c>
      <c r="F14" s="186">
        <f t="shared" si="0"/>
        <v>2234.2799999999997</v>
      </c>
      <c r="G14" s="76" t="s">
        <v>58</v>
      </c>
      <c r="H14" s="58">
        <v>250</v>
      </c>
      <c r="I14" s="73">
        <f t="shared" si="1"/>
        <v>46547.5</v>
      </c>
      <c r="M14" s="69" t="s">
        <v>66</v>
      </c>
      <c r="N14" s="100">
        <v>41.75</v>
      </c>
      <c r="O14" s="98">
        <v>180.7775</v>
      </c>
      <c r="P14" s="97">
        <v>2169.33</v>
      </c>
      <c r="Q14" s="76" t="s">
        <v>58</v>
      </c>
      <c r="R14" s="58">
        <v>250</v>
      </c>
      <c r="S14" s="73">
        <v>45465</v>
      </c>
      <c r="W14" s="74" t="s">
        <v>66</v>
      </c>
      <c r="X14" s="70">
        <v>42</v>
      </c>
      <c r="Y14" s="78">
        <f t="shared" ref="Y14" si="9">+X14*4.33</f>
        <v>181.86</v>
      </c>
      <c r="Z14" s="75">
        <f t="shared" si="5"/>
        <v>2182.3200000000002</v>
      </c>
      <c r="AA14" s="76" t="s">
        <v>58</v>
      </c>
      <c r="AB14" s="58">
        <v>250</v>
      </c>
      <c r="AC14" s="58">
        <f t="shared" si="2"/>
        <v>45465</v>
      </c>
      <c r="AI14" s="74" t="s">
        <v>66</v>
      </c>
      <c r="AJ14" s="70">
        <v>42</v>
      </c>
      <c r="AK14" s="78">
        <f t="shared" ref="AK14" si="10">+AJ14*4.33</f>
        <v>181.86</v>
      </c>
      <c r="AL14" s="75">
        <f t="shared" si="6"/>
        <v>2182.3200000000002</v>
      </c>
      <c r="AM14" s="76" t="s">
        <v>58</v>
      </c>
      <c r="AN14" s="58">
        <v>250</v>
      </c>
      <c r="AO14" s="58">
        <f t="shared" si="3"/>
        <v>45465</v>
      </c>
      <c r="AU14" s="74" t="s">
        <v>66</v>
      </c>
      <c r="AV14" s="70">
        <v>10</v>
      </c>
      <c r="AW14" s="78">
        <f t="shared" ref="AW14" si="11">+AV14*4.33</f>
        <v>43.3</v>
      </c>
      <c r="AX14" s="75">
        <f t="shared" si="7"/>
        <v>519.59999999999991</v>
      </c>
      <c r="AY14" s="76" t="s">
        <v>58</v>
      </c>
      <c r="AZ14" s="58">
        <v>250</v>
      </c>
      <c r="BA14" s="58">
        <f t="shared" si="4"/>
        <v>10825</v>
      </c>
    </row>
    <row r="15" spans="1:53" ht="15.75" x14ac:dyDescent="0.25">
      <c r="C15" s="79" t="s">
        <v>67</v>
      </c>
      <c r="D15" s="184">
        <f>'Customer Summary'!N12</f>
        <v>2.5</v>
      </c>
      <c r="E15" s="185">
        <f>+D15*2.17</f>
        <v>5.4249999999999998</v>
      </c>
      <c r="F15" s="186">
        <f t="shared" si="0"/>
        <v>65.099999999999994</v>
      </c>
      <c r="G15" s="81" t="s">
        <v>58</v>
      </c>
      <c r="H15" s="58">
        <v>250</v>
      </c>
      <c r="I15" s="82">
        <f t="shared" si="1"/>
        <v>1356.25</v>
      </c>
      <c r="M15" s="79" t="s">
        <v>67</v>
      </c>
      <c r="N15" s="102">
        <v>2</v>
      </c>
      <c r="O15" s="98">
        <v>4.34</v>
      </c>
      <c r="P15" s="97">
        <v>52.08</v>
      </c>
      <c r="Q15" s="81" t="s">
        <v>58</v>
      </c>
      <c r="R15" s="58">
        <v>250</v>
      </c>
      <c r="S15" s="82">
        <v>1085</v>
      </c>
      <c r="W15" s="67" t="s">
        <v>67</v>
      </c>
      <c r="X15" s="80"/>
      <c r="Y15" s="78">
        <f>+X15*2.17</f>
        <v>0</v>
      </c>
      <c r="Z15" s="75">
        <f t="shared" si="5"/>
        <v>0</v>
      </c>
      <c r="AA15" s="81" t="s">
        <v>58</v>
      </c>
      <c r="AB15" s="58">
        <v>250</v>
      </c>
      <c r="AC15" s="58">
        <f>+AB15*Y15</f>
        <v>0</v>
      </c>
      <c r="AI15" s="67" t="s">
        <v>67</v>
      </c>
      <c r="AJ15" s="80"/>
      <c r="AK15" s="78">
        <f>+AJ15*2.17</f>
        <v>0</v>
      </c>
      <c r="AL15" s="75">
        <f t="shared" si="6"/>
        <v>0</v>
      </c>
      <c r="AM15" s="81" t="s">
        <v>58</v>
      </c>
      <c r="AN15" s="58">
        <v>250</v>
      </c>
      <c r="AO15" s="58">
        <f>+AN15*AK15</f>
        <v>0</v>
      </c>
      <c r="AU15" s="67" t="s">
        <v>67</v>
      </c>
      <c r="AV15" s="80">
        <v>4</v>
      </c>
      <c r="AW15" s="78">
        <f>+AV15*2.17</f>
        <v>8.68</v>
      </c>
      <c r="AX15" s="75">
        <f t="shared" si="7"/>
        <v>104.16</v>
      </c>
      <c r="AY15" s="81" t="s">
        <v>58</v>
      </c>
      <c r="AZ15" s="58">
        <v>250</v>
      </c>
      <c r="BA15" s="58">
        <f>+AZ15*AW15</f>
        <v>2170</v>
      </c>
    </row>
    <row r="16" spans="1:53" ht="15.75" x14ac:dyDescent="0.25">
      <c r="C16" s="83" t="s">
        <v>59</v>
      </c>
      <c r="D16" s="103">
        <f>SUM(D11:D15)</f>
        <v>1903.5</v>
      </c>
      <c r="E16" s="99"/>
      <c r="F16" s="99"/>
      <c r="G16" s="86"/>
      <c r="I16" s="73">
        <f>SUM(I11:I15)</f>
        <v>594606.06999999995</v>
      </c>
      <c r="M16" s="83" t="s">
        <v>59</v>
      </c>
      <c r="N16" s="103">
        <v>1890</v>
      </c>
      <c r="O16" s="99"/>
      <c r="P16" s="99"/>
      <c r="Q16" s="86"/>
      <c r="S16" s="73">
        <v>589792.48</v>
      </c>
      <c r="V16" s="58" t="s">
        <v>59</v>
      </c>
      <c r="W16" s="87"/>
      <c r="X16" s="84">
        <f>SUM(X11:X15)</f>
        <v>1853</v>
      </c>
      <c r="Y16" s="85"/>
      <c r="Z16" s="85"/>
      <c r="AA16" s="86"/>
      <c r="AC16" s="58">
        <f>SUM(AC11:AC15)</f>
        <v>578695.84000000008</v>
      </c>
      <c r="AH16" s="58" t="s">
        <v>59</v>
      </c>
      <c r="AI16" s="87"/>
      <c r="AJ16" s="84">
        <f>SUM(AJ11:AJ15)</f>
        <v>1853</v>
      </c>
      <c r="AK16" s="85"/>
      <c r="AL16" s="85"/>
      <c r="AM16" s="86"/>
      <c r="AO16" s="58">
        <f>SUM(AO11:AO15)</f>
        <v>578695.84000000008</v>
      </c>
      <c r="AT16" s="58" t="s">
        <v>59</v>
      </c>
      <c r="AU16" s="87"/>
      <c r="AV16" s="84">
        <f>SUM(AV11:AV15)</f>
        <v>1894</v>
      </c>
      <c r="AW16" s="85"/>
      <c r="AX16" s="85"/>
      <c r="AY16" s="86"/>
      <c r="BA16" s="58">
        <f>SUM(BA11:BA15)</f>
        <v>561401.4</v>
      </c>
    </row>
    <row r="17" spans="3:54" ht="15.75" x14ac:dyDescent="0.25">
      <c r="C17" s="67"/>
      <c r="D17" s="88"/>
      <c r="E17" s="89"/>
      <c r="F17" s="89"/>
      <c r="G17" s="90" t="s">
        <v>60</v>
      </c>
      <c r="M17" s="67"/>
      <c r="N17" s="88"/>
      <c r="O17" s="89"/>
      <c r="P17" s="89"/>
      <c r="Q17" s="90" t="s">
        <v>60</v>
      </c>
      <c r="W17" s="67"/>
      <c r="X17" s="88"/>
      <c r="Y17" s="89"/>
      <c r="Z17" s="89"/>
      <c r="AA17" s="90" t="s">
        <v>60</v>
      </c>
      <c r="AI17" s="67"/>
      <c r="AJ17" s="88"/>
      <c r="AK17" s="89"/>
      <c r="AL17" s="89"/>
      <c r="AM17" s="90" t="s">
        <v>60</v>
      </c>
      <c r="AU17" s="67"/>
      <c r="AV17" s="88"/>
      <c r="AW17" s="89"/>
      <c r="AX17" s="89"/>
      <c r="AY17" s="90" t="s">
        <v>60</v>
      </c>
    </row>
    <row r="18" spans="3:54" ht="15.75" x14ac:dyDescent="0.25">
      <c r="C18" s="79">
        <v>2022</v>
      </c>
      <c r="D18" s="88"/>
      <c r="E18" s="89"/>
      <c r="F18" s="89"/>
      <c r="G18" s="90" t="s">
        <v>60</v>
      </c>
      <c r="I18" s="187">
        <f>+I11/I16</f>
        <v>0.87218582660393407</v>
      </c>
      <c r="J18" s="58" t="s">
        <v>72</v>
      </c>
      <c r="M18" s="79">
        <v>2022</v>
      </c>
      <c r="N18" s="88"/>
      <c r="O18" s="89"/>
      <c r="P18" s="89"/>
      <c r="Q18" s="90" t="s">
        <v>60</v>
      </c>
      <c r="S18" s="104">
        <v>0.87464472249629233</v>
      </c>
      <c r="T18" s="58" t="s">
        <v>72</v>
      </c>
      <c r="W18" s="79">
        <v>2021</v>
      </c>
      <c r="X18" s="88"/>
      <c r="Y18" s="89"/>
      <c r="Z18" s="89"/>
      <c r="AA18" s="90" t="s">
        <v>60</v>
      </c>
      <c r="AC18" s="91">
        <f>+AC11/AC16</f>
        <v>0.87513468215012569</v>
      </c>
      <c r="AD18" s="58" t="s">
        <v>72</v>
      </c>
      <c r="AI18" s="79">
        <v>2021</v>
      </c>
      <c r="AJ18" s="88"/>
      <c r="AK18" s="89"/>
      <c r="AL18" s="89"/>
      <c r="AM18" s="90" t="s">
        <v>60</v>
      </c>
      <c r="AO18" s="91">
        <f>+AO11/AO16</f>
        <v>0.87513468215012569</v>
      </c>
      <c r="AP18" s="58" t="s">
        <v>72</v>
      </c>
      <c r="AU18" s="79">
        <v>2019</v>
      </c>
      <c r="AV18" s="88"/>
      <c r="AW18" s="89"/>
      <c r="AX18" s="89"/>
      <c r="AY18" s="90" t="s">
        <v>60</v>
      </c>
      <c r="BA18" s="91">
        <f>+BA11/BA16</f>
        <v>0.92045050119219507</v>
      </c>
      <c r="BB18" s="58" t="s">
        <v>72</v>
      </c>
    </row>
    <row r="19" spans="3:54" x14ac:dyDescent="0.25">
      <c r="D19" s="92"/>
      <c r="E19" s="92"/>
      <c r="F19" s="92"/>
      <c r="G19" s="93"/>
      <c r="I19" s="187">
        <f>(+I12+I13)/I16</f>
        <v>4.7250330514340931E-2</v>
      </c>
      <c r="J19" s="58" t="s">
        <v>73</v>
      </c>
      <c r="N19" s="92"/>
      <c r="O19" s="92"/>
      <c r="P19" s="92"/>
      <c r="Q19" s="93"/>
      <c r="S19" s="104">
        <v>4.6429211847529829E-2</v>
      </c>
      <c r="T19" s="58" t="s">
        <v>73</v>
      </c>
      <c r="X19" s="92"/>
      <c r="Y19" s="92"/>
      <c r="Z19" s="92"/>
      <c r="AA19" s="93"/>
      <c r="AC19" s="91">
        <f>(+AC12+AC13)/AC16</f>
        <v>4.6300730276547346E-2</v>
      </c>
      <c r="AD19" s="58" t="s">
        <v>73</v>
      </c>
      <c r="AJ19" s="92"/>
      <c r="AK19" s="92"/>
      <c r="AL19" s="92"/>
      <c r="AM19" s="93"/>
      <c r="AO19" s="91">
        <f>(+AO12+AO13)/AO16</f>
        <v>4.6300730276547346E-2</v>
      </c>
      <c r="AP19" s="58" t="s">
        <v>73</v>
      </c>
      <c r="AV19" s="92"/>
      <c r="AW19" s="92"/>
      <c r="AX19" s="92"/>
      <c r="AY19" s="93"/>
      <c r="BA19" s="91">
        <f>(+BA12+BA13)/BA16</f>
        <v>5.6402068110268329E-2</v>
      </c>
      <c r="BB19" s="58" t="s">
        <v>73</v>
      </c>
    </row>
    <row r="20" spans="3:54" x14ac:dyDescent="0.25">
      <c r="D20" s="94"/>
      <c r="E20" s="95"/>
      <c r="F20" s="95"/>
      <c r="G20" s="93"/>
      <c r="I20" s="187">
        <f>(+I14+I15)/I16</f>
        <v>8.0563842881725051E-2</v>
      </c>
      <c r="J20" s="58" t="s">
        <v>74</v>
      </c>
      <c r="N20" s="94"/>
      <c r="O20" s="95"/>
      <c r="P20" s="95"/>
      <c r="Q20" s="93"/>
      <c r="S20" s="104">
        <v>7.8926065656177921E-2</v>
      </c>
      <c r="T20" s="58" t="s">
        <v>74</v>
      </c>
      <c r="X20" s="94"/>
      <c r="Y20" s="95"/>
      <c r="Z20" s="95"/>
      <c r="AA20" s="93"/>
      <c r="AC20" s="91">
        <f>(+AC14+AC15)/AC16</f>
        <v>7.8564587573326933E-2</v>
      </c>
      <c r="AD20" s="58" t="s">
        <v>74</v>
      </c>
      <c r="AJ20" s="94"/>
      <c r="AK20" s="95"/>
      <c r="AL20" s="95"/>
      <c r="AM20" s="93"/>
      <c r="AO20" s="91">
        <f>(+AO14+AO15)/AO16</f>
        <v>7.8564587573326933E-2</v>
      </c>
      <c r="AP20" s="58" t="s">
        <v>74</v>
      </c>
      <c r="AV20" s="94"/>
      <c r="AW20" s="95"/>
      <c r="AX20" s="95"/>
      <c r="AY20" s="93"/>
      <c r="BA20" s="91">
        <f>(+BA14+BA15)/BA16</f>
        <v>2.3147430697536556E-2</v>
      </c>
      <c r="BB20" s="58" t="s">
        <v>74</v>
      </c>
    </row>
    <row r="21" spans="3:54" x14ac:dyDescent="0.25">
      <c r="AV21" s="92"/>
      <c r="AW21" s="95"/>
      <c r="AX21" s="95"/>
      <c r="AY21" s="93"/>
      <c r="BA21" s="58">
        <f>SUM(BA18:BA20)</f>
        <v>1</v>
      </c>
    </row>
    <row r="22" spans="3:54" x14ac:dyDescent="0.25">
      <c r="AV22" s="92"/>
      <c r="AW22" s="95"/>
      <c r="AX22" s="95"/>
      <c r="AY22" s="96"/>
    </row>
    <row r="23" spans="3:54" ht="15.75" x14ac:dyDescent="0.25">
      <c r="AV23" s="88"/>
      <c r="AW23" s="89"/>
      <c r="AX23" s="89"/>
      <c r="AY23" s="90" t="s">
        <v>60</v>
      </c>
    </row>
    <row r="24" spans="3:54" ht="15.75" x14ac:dyDescent="0.25">
      <c r="AV24" s="88"/>
      <c r="AW24" s="89"/>
      <c r="AX24" s="89"/>
      <c r="AY24" s="90" t="s">
        <v>60</v>
      </c>
    </row>
    <row r="28" spans="3:54" x14ac:dyDescent="0.25">
      <c r="D28" s="167"/>
    </row>
  </sheetData>
  <mergeCells count="15">
    <mergeCell ref="A1:H1"/>
    <mergeCell ref="A2:H2"/>
    <mergeCell ref="A3:H3"/>
    <mergeCell ref="V1:AB1"/>
    <mergeCell ref="V2:AB2"/>
    <mergeCell ref="V3:AB3"/>
    <mergeCell ref="K1:R1"/>
    <mergeCell ref="K2:R2"/>
    <mergeCell ref="K3:R3"/>
    <mergeCell ref="AT1:AZ1"/>
    <mergeCell ref="AT2:AZ2"/>
    <mergeCell ref="AT3:AZ3"/>
    <mergeCell ref="AH1:AN1"/>
    <mergeCell ref="AH2:AN2"/>
    <mergeCell ref="AH3:AN3"/>
  </mergeCells>
  <pageMargins left="0.7" right="0.7" top="0.75" bottom="0.75" header="0.3" footer="0.3"/>
  <pageSetup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E0536-A820-4A57-99BF-66394D957AB2}">
  <sheetPr>
    <pageSetUpPr fitToPage="1"/>
  </sheetPr>
  <dimension ref="A1:P31"/>
  <sheetViews>
    <sheetView workbookViewId="0">
      <selection activeCell="L19" sqref="L19"/>
    </sheetView>
  </sheetViews>
  <sheetFormatPr defaultRowHeight="15" x14ac:dyDescent="0.25"/>
  <cols>
    <col min="1" max="1" width="27.28515625" customWidth="1"/>
    <col min="2" max="2" width="11" bestFit="1" customWidth="1"/>
    <col min="3" max="3" width="9.5703125" bestFit="1" customWidth="1"/>
    <col min="4" max="4" width="15" customWidth="1"/>
    <col min="5" max="5" width="13.28515625" customWidth="1"/>
    <col min="6" max="6" width="15.5703125" customWidth="1"/>
    <col min="7" max="7" width="13" customWidth="1"/>
  </cols>
  <sheetData>
    <row r="1" spans="1:16" ht="18.75" x14ac:dyDescent="0.3">
      <c r="A1" s="168" t="s">
        <v>113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</row>
    <row r="2" spans="1:16" ht="18.75" x14ac:dyDescent="0.3">
      <c r="A2" s="168" t="s">
        <v>114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</row>
    <row r="3" spans="1:16" ht="18.75" x14ac:dyDescent="0.3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</row>
    <row r="4" spans="1:16" ht="18.75" x14ac:dyDescent="0.3">
      <c r="A4" s="168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</row>
    <row r="5" spans="1:16" ht="18.75" x14ac:dyDescent="0.3">
      <c r="A5" s="169" t="s">
        <v>121</v>
      </c>
    </row>
    <row r="6" spans="1:16" ht="15.75" thickBot="1" x14ac:dyDescent="0.3"/>
    <row r="7" spans="1:16" ht="15.75" thickBot="1" x14ac:dyDescent="0.3">
      <c r="A7" s="170"/>
      <c r="B7" s="181">
        <v>44743</v>
      </c>
      <c r="C7" s="181">
        <v>44774</v>
      </c>
      <c r="D7" s="181">
        <v>44805</v>
      </c>
      <c r="E7" s="181">
        <v>44835</v>
      </c>
      <c r="F7" s="181">
        <v>44866</v>
      </c>
      <c r="G7" s="181">
        <v>44896</v>
      </c>
      <c r="H7" s="182"/>
      <c r="I7" s="182"/>
      <c r="J7" s="182"/>
      <c r="K7" s="182"/>
      <c r="L7" s="182"/>
      <c r="M7" s="182"/>
      <c r="N7" s="173" t="s">
        <v>116</v>
      </c>
    </row>
    <row r="8" spans="1:16" ht="15.75" thickBot="1" x14ac:dyDescent="0.3">
      <c r="A8" s="174" t="s">
        <v>7</v>
      </c>
      <c r="B8" s="13">
        <v>1755</v>
      </c>
      <c r="C8" s="13">
        <v>1758</v>
      </c>
      <c r="D8" s="13">
        <v>1758</v>
      </c>
      <c r="E8" s="175">
        <v>1765</v>
      </c>
      <c r="F8" s="175">
        <v>1766</v>
      </c>
      <c r="G8" s="175">
        <v>1766</v>
      </c>
      <c r="H8" s="175"/>
      <c r="I8" s="175"/>
      <c r="J8" s="175"/>
      <c r="K8" s="175"/>
      <c r="L8" s="175"/>
      <c r="M8" s="175"/>
      <c r="N8" s="176">
        <f>AVERAGE(B8:M8)</f>
        <v>1761.3333333333333</v>
      </c>
      <c r="P8" s="2"/>
    </row>
    <row r="9" spans="1:16" ht="15.75" thickBot="1" x14ac:dyDescent="0.3">
      <c r="A9" s="177" t="s">
        <v>117</v>
      </c>
      <c r="B9" s="178">
        <v>93</v>
      </c>
      <c r="C9" s="178">
        <v>93</v>
      </c>
      <c r="D9" s="178">
        <v>93</v>
      </c>
      <c r="E9" s="178">
        <v>95</v>
      </c>
      <c r="F9" s="178">
        <v>95</v>
      </c>
      <c r="G9" s="178">
        <v>96</v>
      </c>
      <c r="H9" s="178"/>
      <c r="I9" s="178"/>
      <c r="J9" s="178"/>
      <c r="K9" s="178"/>
      <c r="L9" s="178"/>
      <c r="M9" s="178"/>
      <c r="N9" s="176">
        <f t="shared" ref="N9:N12" si="0">AVERAGE(B9:M9)</f>
        <v>94.166666666666671</v>
      </c>
      <c r="P9" s="2"/>
    </row>
    <row r="10" spans="1:16" ht="15.75" thickBot="1" x14ac:dyDescent="0.3">
      <c r="A10" s="177" t="s">
        <v>118</v>
      </c>
      <c r="B10" s="178">
        <v>2</v>
      </c>
      <c r="C10" s="178">
        <v>2</v>
      </c>
      <c r="D10" s="178">
        <v>2</v>
      </c>
      <c r="E10" s="178">
        <v>3</v>
      </c>
      <c r="F10" s="178">
        <v>3</v>
      </c>
      <c r="G10" s="178">
        <v>3</v>
      </c>
      <c r="H10" s="178"/>
      <c r="I10" s="178"/>
      <c r="J10" s="178"/>
      <c r="K10" s="178"/>
      <c r="L10" s="178"/>
      <c r="M10" s="178"/>
      <c r="N10" s="176">
        <f t="shared" si="0"/>
        <v>2.5</v>
      </c>
      <c r="P10" s="2"/>
    </row>
    <row r="11" spans="1:16" ht="15.75" thickBot="1" x14ac:dyDescent="0.3">
      <c r="A11" s="177" t="s">
        <v>119</v>
      </c>
      <c r="B11" s="178">
        <v>42</v>
      </c>
      <c r="C11" s="178">
        <v>42</v>
      </c>
      <c r="D11" s="178">
        <v>42</v>
      </c>
      <c r="E11" s="178">
        <v>44</v>
      </c>
      <c r="F11" s="178">
        <v>44</v>
      </c>
      <c r="G11" s="178">
        <v>44</v>
      </c>
      <c r="H11" s="178"/>
      <c r="I11" s="178"/>
      <c r="J11" s="178"/>
      <c r="K11" s="178"/>
      <c r="L11" s="178"/>
      <c r="M11" s="178"/>
      <c r="N11" s="176">
        <f t="shared" si="0"/>
        <v>43</v>
      </c>
      <c r="P11" s="2"/>
    </row>
    <row r="12" spans="1:16" ht="15.75" thickBot="1" x14ac:dyDescent="0.3">
      <c r="A12" s="180" t="s">
        <v>120</v>
      </c>
      <c r="B12" s="178">
        <v>2</v>
      </c>
      <c r="C12" s="178">
        <v>2</v>
      </c>
      <c r="D12" s="178">
        <v>2</v>
      </c>
      <c r="E12" s="178">
        <v>3</v>
      </c>
      <c r="F12" s="178">
        <v>3</v>
      </c>
      <c r="G12" s="178">
        <v>3</v>
      </c>
      <c r="H12" s="178"/>
      <c r="I12" s="178"/>
      <c r="J12" s="178"/>
      <c r="K12" s="178"/>
      <c r="L12" s="178"/>
      <c r="M12" s="178"/>
      <c r="N12" s="176">
        <f t="shared" si="0"/>
        <v>2.5</v>
      </c>
      <c r="P12" s="2"/>
    </row>
    <row r="13" spans="1:16" x14ac:dyDescent="0.25">
      <c r="A13" s="27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5" spans="1:16" ht="18.75" x14ac:dyDescent="0.3">
      <c r="A15" s="169" t="s">
        <v>115</v>
      </c>
    </row>
    <row r="16" spans="1:16" ht="15.75" thickBot="1" x14ac:dyDescent="0.3"/>
    <row r="17" spans="1:16" ht="15.75" thickBot="1" x14ac:dyDescent="0.3">
      <c r="A17" s="170"/>
      <c r="B17" s="171">
        <v>44763</v>
      </c>
      <c r="C17" s="171">
        <v>44794</v>
      </c>
      <c r="D17" s="171">
        <v>44825</v>
      </c>
      <c r="E17" s="171">
        <v>44855</v>
      </c>
      <c r="F17" s="171">
        <v>44886</v>
      </c>
      <c r="G17" s="172">
        <v>44916</v>
      </c>
      <c r="H17" s="171">
        <v>44583</v>
      </c>
      <c r="I17" s="171">
        <v>44614</v>
      </c>
      <c r="J17" s="171">
        <v>44642</v>
      </c>
      <c r="K17" s="171">
        <v>44673</v>
      </c>
      <c r="L17" s="171">
        <v>44703</v>
      </c>
      <c r="M17" s="171">
        <v>44734</v>
      </c>
      <c r="N17" s="173" t="s">
        <v>116</v>
      </c>
    </row>
    <row r="18" spans="1:16" ht="15.75" thickBot="1" x14ac:dyDescent="0.3">
      <c r="A18" s="174" t="s">
        <v>7</v>
      </c>
      <c r="B18" s="175">
        <v>1754</v>
      </c>
      <c r="C18" s="175">
        <v>1754</v>
      </c>
      <c r="D18" s="175">
        <v>1752</v>
      </c>
      <c r="E18" s="175">
        <v>1752</v>
      </c>
      <c r="F18" s="175">
        <v>1751</v>
      </c>
      <c r="G18" s="13">
        <v>1751</v>
      </c>
      <c r="H18" s="175">
        <v>1749</v>
      </c>
      <c r="I18" s="175">
        <v>1751</v>
      </c>
      <c r="J18" s="175">
        <v>1752</v>
      </c>
      <c r="K18" s="175">
        <v>1752</v>
      </c>
      <c r="L18" s="175">
        <v>1753</v>
      </c>
      <c r="M18" s="175">
        <v>1753</v>
      </c>
      <c r="N18" s="176">
        <f>AVERAGE(B18:M18)</f>
        <v>1752</v>
      </c>
      <c r="P18" s="2"/>
    </row>
    <row r="19" spans="1:16" ht="15.75" thickBot="1" x14ac:dyDescent="0.3">
      <c r="A19" s="177" t="s">
        <v>117</v>
      </c>
      <c r="B19" s="178">
        <v>92</v>
      </c>
      <c r="C19" s="178">
        <v>92</v>
      </c>
      <c r="D19" s="178">
        <v>92</v>
      </c>
      <c r="E19" s="178">
        <v>92</v>
      </c>
      <c r="F19" s="178">
        <v>92</v>
      </c>
      <c r="G19" s="179">
        <v>92</v>
      </c>
      <c r="H19" s="178">
        <v>91</v>
      </c>
      <c r="I19" s="178">
        <v>90</v>
      </c>
      <c r="J19" s="178">
        <v>91</v>
      </c>
      <c r="K19" s="178">
        <v>91</v>
      </c>
      <c r="L19" s="178">
        <v>92</v>
      </c>
      <c r="M19" s="178">
        <v>92</v>
      </c>
      <c r="N19" s="176">
        <f t="shared" ref="N19:N22" si="1">AVERAGE(B19:M19)</f>
        <v>91.583333333333329</v>
      </c>
      <c r="P19" s="2"/>
    </row>
    <row r="20" spans="1:16" ht="15.75" thickBot="1" x14ac:dyDescent="0.3">
      <c r="A20" s="177" t="s">
        <v>118</v>
      </c>
      <c r="B20" s="178">
        <v>2</v>
      </c>
      <c r="C20" s="178">
        <v>3</v>
      </c>
      <c r="D20" s="178">
        <v>3</v>
      </c>
      <c r="E20" s="178">
        <v>3</v>
      </c>
      <c r="F20" s="178">
        <v>2</v>
      </c>
      <c r="G20" s="179">
        <v>2</v>
      </c>
      <c r="H20" s="178">
        <v>2</v>
      </c>
      <c r="I20" s="178">
        <v>2</v>
      </c>
      <c r="J20" s="178">
        <v>2</v>
      </c>
      <c r="K20" s="178">
        <v>2</v>
      </c>
      <c r="L20" s="178">
        <v>2</v>
      </c>
      <c r="M20" s="178">
        <v>2</v>
      </c>
      <c r="N20" s="176">
        <f t="shared" si="1"/>
        <v>2.25</v>
      </c>
      <c r="P20" s="2"/>
    </row>
    <row r="21" spans="1:16" ht="15.75" thickBot="1" x14ac:dyDescent="0.3">
      <c r="A21" s="177" t="s">
        <v>119</v>
      </c>
      <c r="B21" s="178">
        <v>42</v>
      </c>
      <c r="C21" s="178">
        <v>42</v>
      </c>
      <c r="D21" s="178">
        <v>42</v>
      </c>
      <c r="E21" s="178">
        <v>42</v>
      </c>
      <c r="F21" s="178">
        <v>42</v>
      </c>
      <c r="G21" s="179">
        <v>42</v>
      </c>
      <c r="H21" s="178">
        <v>42</v>
      </c>
      <c r="I21" s="178">
        <v>41</v>
      </c>
      <c r="J21" s="178">
        <v>41</v>
      </c>
      <c r="K21" s="178">
        <v>41</v>
      </c>
      <c r="L21" s="178">
        <v>42</v>
      </c>
      <c r="M21" s="178">
        <v>42</v>
      </c>
      <c r="N21" s="176">
        <f t="shared" si="1"/>
        <v>41.75</v>
      </c>
      <c r="P21" s="2"/>
    </row>
    <row r="22" spans="1:16" ht="15.75" thickBot="1" x14ac:dyDescent="0.3">
      <c r="A22" s="180" t="s">
        <v>120</v>
      </c>
      <c r="B22" s="178">
        <v>2</v>
      </c>
      <c r="C22" s="178">
        <v>2</v>
      </c>
      <c r="D22" s="178">
        <v>2</v>
      </c>
      <c r="E22" s="178">
        <v>2</v>
      </c>
      <c r="F22" s="178">
        <v>2</v>
      </c>
      <c r="G22" s="179">
        <v>2</v>
      </c>
      <c r="H22" s="178">
        <v>2</v>
      </c>
      <c r="I22" s="178">
        <v>2</v>
      </c>
      <c r="J22" s="178">
        <v>2</v>
      </c>
      <c r="K22" s="178">
        <v>2</v>
      </c>
      <c r="L22" s="178">
        <v>2</v>
      </c>
      <c r="M22" s="178">
        <v>2</v>
      </c>
      <c r="N22" s="176">
        <f t="shared" si="1"/>
        <v>2</v>
      </c>
      <c r="P22" s="2"/>
    </row>
    <row r="23" spans="1:16" x14ac:dyDescent="0.25">
      <c r="A23" s="27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6" x14ac:dyDescent="0.25">
      <c r="A24" s="27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6" x14ac:dyDescent="0.25">
      <c r="A25" s="27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6" x14ac:dyDescent="0.25">
      <c r="H26" s="27"/>
      <c r="I26" s="27"/>
      <c r="J26" s="27"/>
      <c r="K26" s="27"/>
      <c r="L26" s="27"/>
      <c r="M26" s="27"/>
    </row>
    <row r="27" spans="1:16" x14ac:dyDescent="0.25">
      <c r="H27" s="2"/>
      <c r="I27" s="2"/>
      <c r="J27" s="2"/>
      <c r="K27" s="2"/>
      <c r="L27" s="2"/>
      <c r="M27" s="2"/>
    </row>
    <row r="28" spans="1:16" x14ac:dyDescent="0.25">
      <c r="H28" s="2"/>
      <c r="I28" s="2"/>
      <c r="J28" s="2"/>
      <c r="K28" s="2"/>
      <c r="L28" s="2"/>
      <c r="M28" s="2"/>
    </row>
    <row r="29" spans="1:16" x14ac:dyDescent="0.25">
      <c r="H29" s="2"/>
      <c r="I29" s="2"/>
      <c r="J29" s="2"/>
      <c r="K29" s="2"/>
      <c r="L29" s="2"/>
      <c r="M29" s="2"/>
    </row>
    <row r="30" spans="1:16" x14ac:dyDescent="0.25">
      <c r="H30" s="2"/>
      <c r="I30" s="2"/>
      <c r="J30" s="2"/>
      <c r="K30" s="2"/>
      <c r="L30" s="2"/>
      <c r="M30" s="2"/>
    </row>
    <row r="31" spans="1:16" x14ac:dyDescent="0.25">
      <c r="H31" s="2"/>
      <c r="I31" s="2"/>
      <c r="J31" s="2"/>
      <c r="K31" s="2"/>
      <c r="L31" s="2"/>
      <c r="M31" s="2"/>
    </row>
  </sheetData>
  <pageMargins left="0.7" right="0.7" top="0.75" bottom="0.75" header="0.3" footer="0.3"/>
  <pageSetup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T61"/>
  <sheetViews>
    <sheetView topLeftCell="A4" zoomScaleNormal="100" workbookViewId="0">
      <selection activeCell="O10" sqref="O10"/>
    </sheetView>
  </sheetViews>
  <sheetFormatPr defaultRowHeight="15" x14ac:dyDescent="0.25"/>
  <cols>
    <col min="11" max="11" width="9.42578125" customWidth="1"/>
    <col min="12" max="12" width="9.5703125" bestFit="1" customWidth="1"/>
    <col min="17" max="17" width="16" customWidth="1"/>
    <col min="18" max="18" width="9.7109375" bestFit="1" customWidth="1"/>
    <col min="20" max="20" width="9.7109375" bestFit="1" customWidth="1"/>
  </cols>
  <sheetData>
    <row r="4" spans="1:18" x14ac:dyDescent="0.25">
      <c r="F4" s="27" t="s">
        <v>80</v>
      </c>
      <c r="G4" s="27"/>
      <c r="H4" s="27"/>
      <c r="I4" s="27"/>
      <c r="J4" s="27"/>
      <c r="K4" s="27"/>
      <c r="L4" s="27"/>
      <c r="M4" s="27"/>
      <c r="N4" s="27"/>
      <c r="O4" s="27"/>
    </row>
    <row r="5" spans="1:18" x14ac:dyDescent="0.25">
      <c r="F5" s="2"/>
      <c r="G5" s="2"/>
      <c r="H5" s="2"/>
      <c r="I5" s="2"/>
      <c r="J5" s="2"/>
      <c r="K5" s="2"/>
      <c r="L5" s="2"/>
      <c r="M5" s="2"/>
    </row>
    <row r="6" spans="1:18" x14ac:dyDescent="0.25">
      <c r="A6" s="28"/>
      <c r="B6" s="28"/>
      <c r="C6" s="28"/>
      <c r="D6" s="29">
        <v>43647</v>
      </c>
      <c r="E6" s="29">
        <v>43678</v>
      </c>
      <c r="F6" s="29">
        <v>43709</v>
      </c>
      <c r="G6" s="29">
        <v>43739</v>
      </c>
      <c r="H6" s="29">
        <v>43770</v>
      </c>
      <c r="I6" s="29">
        <v>43800</v>
      </c>
      <c r="J6" s="29">
        <v>43831</v>
      </c>
      <c r="K6" s="29">
        <v>43862</v>
      </c>
      <c r="L6" s="29">
        <v>43891</v>
      </c>
      <c r="M6" s="29">
        <v>43922</v>
      </c>
      <c r="N6" s="29">
        <v>43952</v>
      </c>
      <c r="O6" s="29">
        <v>43983</v>
      </c>
      <c r="P6" s="29"/>
      <c r="Q6" s="30"/>
      <c r="R6" s="31"/>
    </row>
    <row r="7" spans="1:18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3"/>
    </row>
    <row r="8" spans="1:18" x14ac:dyDescent="0.25">
      <c r="A8" s="34" t="s">
        <v>81</v>
      </c>
      <c r="B8" s="34"/>
      <c r="C8" s="34"/>
      <c r="D8" s="35">
        <f>+Data!AJ5+Data!AK5+Data!AL5</f>
        <v>60.333333333333321</v>
      </c>
      <c r="E8" s="35">
        <f>+Data!AJ6+Data!AK6+Data!AL6</f>
        <v>62.073333333333331</v>
      </c>
      <c r="F8" s="35">
        <f>+Data!AJ7+Data!AK7+Data!AL7</f>
        <v>53.36333333333333</v>
      </c>
      <c r="G8" s="35">
        <f>+Data!AJ8+Data!AK8+Data!AL8</f>
        <v>65.433333333333337</v>
      </c>
      <c r="H8" s="35">
        <f>+Data!AJ9+Data!AK9+Data!AL9</f>
        <v>60.183333333333337</v>
      </c>
      <c r="I8" s="35">
        <f>+Data!AJ10+Data!AK10+Data!AL10</f>
        <v>73.533333333333331</v>
      </c>
      <c r="J8" s="35">
        <f>+Data!AJ11+Data!AK11+Data!AL11</f>
        <v>69.853333333333325</v>
      </c>
      <c r="K8" s="35">
        <f>+Data!AJ12+Data!AK12+Data!AL12</f>
        <v>50.313333333333333</v>
      </c>
      <c r="L8" s="35">
        <f>+Data!AJ13+Data!AK13+Data!AL13</f>
        <v>53.433333333333337</v>
      </c>
      <c r="M8" s="35">
        <f>+Data!AJ14+Data!AK14+Data!AL14</f>
        <v>53.593333333333334</v>
      </c>
      <c r="N8" s="35">
        <f>+Data!AJ15+Data!AK15+Data!AL15</f>
        <v>51.11333333333333</v>
      </c>
      <c r="O8" s="35">
        <f>+Data!AJ16+Data!AK16+Data!AL16</f>
        <v>59.423333333333332</v>
      </c>
      <c r="P8" s="36"/>
      <c r="Q8" s="36"/>
      <c r="R8" s="33"/>
    </row>
    <row r="9" spans="1:18" x14ac:dyDescent="0.2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2"/>
      <c r="Q9" s="32"/>
      <c r="R9" s="33"/>
    </row>
    <row r="10" spans="1:18" x14ac:dyDescent="0.25">
      <c r="A10" s="34" t="s">
        <v>82</v>
      </c>
      <c r="B10" s="34"/>
      <c r="C10" s="34"/>
      <c r="D10" s="37">
        <f>+'Cust-PickUps'!$AV$16</f>
        <v>1894</v>
      </c>
      <c r="E10" s="37">
        <f>+'Cust-PickUps'!$AV$16</f>
        <v>1894</v>
      </c>
      <c r="F10" s="37">
        <f>+'Cust-PickUps'!$AV$16</f>
        <v>1894</v>
      </c>
      <c r="G10" s="37">
        <f>+'Cust-PickUps'!$AV$16</f>
        <v>1894</v>
      </c>
      <c r="H10" s="37">
        <f>+'Cust-PickUps'!$AV$16</f>
        <v>1894</v>
      </c>
      <c r="I10" s="37">
        <f>+'Cust-PickUps'!$AV$16</f>
        <v>1894</v>
      </c>
      <c r="J10" s="37">
        <f>+'Cust-PickUps'!$AV$16</f>
        <v>1894</v>
      </c>
      <c r="K10" s="37">
        <f>+'Cust-PickUps'!$AV$16</f>
        <v>1894</v>
      </c>
      <c r="L10" s="37">
        <f>+'Cust-PickUps'!$AV$16</f>
        <v>1894</v>
      </c>
      <c r="M10" s="37">
        <f>+'Cust-PickUps'!$AV$16</f>
        <v>1894</v>
      </c>
      <c r="N10" s="37">
        <f>+'Cust-PickUps'!$AV$16</f>
        <v>1894</v>
      </c>
      <c r="O10" s="37">
        <f>+'Cust-PickUps'!$AV$16</f>
        <v>1894</v>
      </c>
      <c r="P10" s="37"/>
      <c r="Q10" s="36"/>
      <c r="R10" s="38"/>
    </row>
    <row r="11" spans="1:18" x14ac:dyDescent="0.25">
      <c r="A11" s="34"/>
      <c r="B11" s="34"/>
      <c r="C11" s="34"/>
      <c r="D11" s="34"/>
      <c r="E11" s="39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2"/>
      <c r="Q11" s="32"/>
      <c r="R11" s="33"/>
    </row>
    <row r="12" spans="1:18" x14ac:dyDescent="0.25">
      <c r="A12" s="34" t="s">
        <v>83</v>
      </c>
      <c r="B12" s="34"/>
      <c r="C12" s="34"/>
      <c r="D12" s="40">
        <f>D8/D10</f>
        <v>3.1854980640619493E-2</v>
      </c>
      <c r="E12" s="40">
        <f t="shared" ref="E12:J12" si="0">E8/E10</f>
        <v>3.2773671242520237E-2</v>
      </c>
      <c r="F12" s="40">
        <f t="shared" si="0"/>
        <v>2.8174938401971134E-2</v>
      </c>
      <c r="G12" s="40">
        <f t="shared" si="0"/>
        <v>3.4547694473776841E-2</v>
      </c>
      <c r="H12" s="40">
        <f t="shared" si="0"/>
        <v>3.1775783174938406E-2</v>
      </c>
      <c r="I12" s="41">
        <f t="shared" si="0"/>
        <v>3.8824357620556138E-2</v>
      </c>
      <c r="J12" s="40">
        <f t="shared" si="0"/>
        <v>3.6881379795846526E-2</v>
      </c>
      <c r="K12" s="40">
        <f>K8/K10</f>
        <v>2.6564589933122138E-2</v>
      </c>
      <c r="L12" s="40">
        <f t="shared" ref="L12:O12" si="1">L8/L10</f>
        <v>2.8211897219288986E-2</v>
      </c>
      <c r="M12" s="40">
        <f t="shared" si="1"/>
        <v>2.8296374516015486E-2</v>
      </c>
      <c r="N12" s="40">
        <f t="shared" si="1"/>
        <v>2.6986976416754661E-2</v>
      </c>
      <c r="O12" s="41">
        <f t="shared" si="1"/>
        <v>3.1374516015487505E-2</v>
      </c>
      <c r="P12" s="41"/>
      <c r="Q12" s="42"/>
      <c r="R12" s="33"/>
    </row>
    <row r="13" spans="1:18" x14ac:dyDescent="0.25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2"/>
      <c r="Q13" s="32"/>
      <c r="R13" s="33"/>
    </row>
    <row r="14" spans="1:18" x14ac:dyDescent="0.25">
      <c r="A14" s="34" t="s">
        <v>84</v>
      </c>
      <c r="B14" s="34"/>
      <c r="C14" s="34"/>
      <c r="D14" s="35">
        <f>+Data!AI5</f>
        <v>132.63140439158281</v>
      </c>
      <c r="E14" s="35">
        <f>+Data!AI6</f>
        <v>131.02164162368243</v>
      </c>
      <c r="F14" s="35">
        <f>+Data!AI7</f>
        <v>132.57114452591028</v>
      </c>
      <c r="G14" s="35">
        <f>+Data!AI8</f>
        <v>132.58169440242057</v>
      </c>
      <c r="H14" s="35">
        <f>+Data!AI9</f>
        <v>134.42078130370029</v>
      </c>
      <c r="I14" s="35">
        <f>+Data!AI10</f>
        <v>133.14099761526231</v>
      </c>
      <c r="J14" s="35">
        <f>+Data!AI11</f>
        <v>130.68151815181517</v>
      </c>
      <c r="K14" s="35">
        <f>+Data!AI12</f>
        <v>127.77137690519245</v>
      </c>
      <c r="L14" s="35">
        <f>+Data!AI13</f>
        <v>127.60106779240128</v>
      </c>
      <c r="M14" s="35">
        <f>+Data!AI14</f>
        <v>127.13110285006195</v>
      </c>
      <c r="N14" s="35">
        <f>+Data!AI15</f>
        <v>115.33175658399387</v>
      </c>
      <c r="O14" s="35">
        <f>+Data!AI16</f>
        <v>122.71177626256789</v>
      </c>
      <c r="P14" s="36"/>
      <c r="Q14" s="32"/>
      <c r="R14" s="33"/>
    </row>
    <row r="15" spans="1:18" x14ac:dyDescent="0.2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6"/>
      <c r="Q15" s="32"/>
      <c r="R15" s="33"/>
    </row>
    <row r="16" spans="1:18" x14ac:dyDescent="0.25">
      <c r="A16" s="34" t="s">
        <v>85</v>
      </c>
      <c r="B16" s="34"/>
      <c r="C16" s="34"/>
      <c r="D16" s="35">
        <f>D12*D14</f>
        <v>4.2249708192320456</v>
      </c>
      <c r="E16" s="35">
        <f t="shared" ref="E16:I16" si="2">E12*E14</f>
        <v>4.2940602082298733</v>
      </c>
      <c r="F16" s="35">
        <f t="shared" si="2"/>
        <v>3.735183830896335</v>
      </c>
      <c r="G16" s="35">
        <f t="shared" si="2"/>
        <v>4.580391871030475</v>
      </c>
      <c r="H16" s="35">
        <f t="shared" si="2"/>
        <v>4.2713256009121947</v>
      </c>
      <c r="I16" s="36">
        <f t="shared" si="2"/>
        <v>5.1691137053725553</v>
      </c>
      <c r="J16" s="35">
        <f>J12*J14</f>
        <v>4.819714703254907</v>
      </c>
      <c r="K16" s="35">
        <f>K12*K14</f>
        <v>3.39419423267683</v>
      </c>
      <c r="L16" s="35">
        <f t="shared" ref="L16:O16" si="3">L12*L14</f>
        <v>3.5998682096307513</v>
      </c>
      <c r="M16" s="35">
        <f t="shared" si="3"/>
        <v>3.5973492988794367</v>
      </c>
      <c r="N16" s="35">
        <f t="shared" si="3"/>
        <v>3.1124553950351315</v>
      </c>
      <c r="O16" s="36">
        <f t="shared" si="3"/>
        <v>3.850022589638856</v>
      </c>
      <c r="P16" s="36"/>
      <c r="Q16" s="32"/>
      <c r="R16" s="33"/>
    </row>
    <row r="17" spans="1:20" x14ac:dyDescent="0.25">
      <c r="A17" s="34" t="s">
        <v>86</v>
      </c>
      <c r="B17" s="34"/>
      <c r="C17" s="34"/>
      <c r="D17" s="35">
        <f>+Analysis!V11</f>
        <v>-3.1505548636774381</v>
      </c>
      <c r="E17" s="35">
        <f>+D17</f>
        <v>-3.1505548636774381</v>
      </c>
      <c r="F17" s="35">
        <f>+D17</f>
        <v>-3.1505548636774381</v>
      </c>
      <c r="G17" s="35">
        <f>+Analysis!V12</f>
        <v>-4.2024024995887101</v>
      </c>
      <c r="H17" s="35">
        <f t="shared" ref="H17:J17" si="4">+G17</f>
        <v>-4.2024024995887101</v>
      </c>
      <c r="I17" s="35">
        <f t="shared" si="4"/>
        <v>-4.2024024995887101</v>
      </c>
      <c r="J17" s="35">
        <f t="shared" si="4"/>
        <v>-4.2024024995887101</v>
      </c>
      <c r="K17" s="35">
        <f>+J17</f>
        <v>-4.2024024995887101</v>
      </c>
      <c r="L17" s="35">
        <f>+G17</f>
        <v>-4.2024024995887101</v>
      </c>
      <c r="M17" s="35">
        <f>+L17</f>
        <v>-4.2024024995887101</v>
      </c>
      <c r="N17" s="35">
        <f t="shared" ref="N17:O17" si="5">+M17</f>
        <v>-4.2024024995887101</v>
      </c>
      <c r="O17" s="35">
        <f t="shared" si="5"/>
        <v>-4.2024024995887101</v>
      </c>
      <c r="P17" s="36"/>
      <c r="Q17" s="32"/>
      <c r="R17" s="33"/>
    </row>
    <row r="18" spans="1:20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6"/>
      <c r="Q18" s="32"/>
      <c r="R18" s="33"/>
    </row>
    <row r="19" spans="1:20" x14ac:dyDescent="0.25">
      <c r="A19" s="34" t="s">
        <v>87</v>
      </c>
      <c r="B19" s="34"/>
      <c r="C19" s="34"/>
      <c r="D19" s="43">
        <f>+D17*D10</f>
        <v>-5967.1509118050681</v>
      </c>
      <c r="E19" s="43">
        <f t="shared" ref="E19:O19" si="6">+E17*E10</f>
        <v>-5967.1509118050681</v>
      </c>
      <c r="F19" s="43">
        <f t="shared" si="6"/>
        <v>-5967.1509118050681</v>
      </c>
      <c r="G19" s="43">
        <f t="shared" si="6"/>
        <v>-7959.350334221017</v>
      </c>
      <c r="H19" s="43">
        <f t="shared" si="6"/>
        <v>-7959.350334221017</v>
      </c>
      <c r="I19" s="44">
        <f t="shared" si="6"/>
        <v>-7959.350334221017</v>
      </c>
      <c r="J19" s="43">
        <f t="shared" si="6"/>
        <v>-7959.350334221017</v>
      </c>
      <c r="K19" s="43">
        <f>+K17*K10</f>
        <v>-7959.350334221017</v>
      </c>
      <c r="L19" s="43">
        <f t="shared" si="6"/>
        <v>-7959.350334221017</v>
      </c>
      <c r="M19" s="43">
        <f t="shared" si="6"/>
        <v>-7959.350334221017</v>
      </c>
      <c r="N19" s="43">
        <f t="shared" si="6"/>
        <v>-7959.350334221017</v>
      </c>
      <c r="O19" s="44">
        <f t="shared" si="6"/>
        <v>-7959.350334221017</v>
      </c>
      <c r="P19" s="44"/>
      <c r="Q19" s="45"/>
      <c r="R19" s="46"/>
      <c r="S19" s="47"/>
    </row>
    <row r="20" spans="1:20" x14ac:dyDescent="0.25">
      <c r="A20" s="34" t="s">
        <v>88</v>
      </c>
      <c r="B20" s="34"/>
      <c r="C20" s="34"/>
      <c r="D20" s="43">
        <f>-(+Data!AJ5+Data!AK5+Data!AL5)*Data!AI5</f>
        <v>-8002.0947316254942</v>
      </c>
      <c r="E20" s="43">
        <f>-(+Data!AJ6+Data!AK6+Data!AL6)*Data!AI6</f>
        <v>-8132.9500343873806</v>
      </c>
      <c r="F20" s="43">
        <f>-(+Data!AJ7+Data!AK7+Data!AL7)*Data!AI7</f>
        <v>-7074.4381757176589</v>
      </c>
      <c r="G20" s="43">
        <f>-(+Data!AJ8+Data!AK8+Data!AL8)*Data!AI8</f>
        <v>-8675.2622037317196</v>
      </c>
      <c r="H20" s="43">
        <f>-(+Data!AJ9+Data!AK9+Data!AL9)*Data!AI9</f>
        <v>-8089.8906881276962</v>
      </c>
      <c r="I20" s="44">
        <f>-(+Data!AJ10+Data!AK10+Data!AL10)*Data!AI10</f>
        <v>-9790.3013579756207</v>
      </c>
      <c r="J20" s="43">
        <f>-(+Data!AJ11+Data!AK11+Data!AL11)*Data!AI11</f>
        <v>-9128.5396479647952</v>
      </c>
      <c r="K20" s="43">
        <f>-(+Data!AJ12+Data!AK12+Data!AL12)*Data!AI12</f>
        <v>-6428.6038766899164</v>
      </c>
      <c r="L20" s="43">
        <f>-(+Data!AJ13+Data!AJ13+Data!AJ13)*Data!AJ13</f>
        <v>-7256.8252834487466</v>
      </c>
      <c r="M20" s="44">
        <f>-(+Data!AJ14+Data!AK14+Data!AL14)*Data!AI14</f>
        <v>-6813.3795720776534</v>
      </c>
      <c r="N20" s="43">
        <f>-(+Data!AJ15+Data!AK15+Data!AL15)*Data!AI15</f>
        <v>-5894.9905181965396</v>
      </c>
      <c r="O20" s="43">
        <f>-(+Data!AJ16+Data!AK16+Data!AL16)*Data!AI16</f>
        <v>-7291.9427847759925</v>
      </c>
      <c r="P20" s="44"/>
      <c r="Q20" s="45"/>
      <c r="R20" s="46"/>
      <c r="T20" s="47"/>
    </row>
    <row r="21" spans="1:20" x14ac:dyDescent="0.25">
      <c r="A21" s="34" t="s">
        <v>89</v>
      </c>
      <c r="B21" s="34"/>
      <c r="C21" s="34"/>
      <c r="D21" s="43">
        <f>+D19-D20</f>
        <v>2034.9438198204261</v>
      </c>
      <c r="E21" s="43">
        <f t="shared" ref="E21:O21" si="7">+E19-E20</f>
        <v>2165.7991225823125</v>
      </c>
      <c r="F21" s="43">
        <f t="shared" si="7"/>
        <v>1107.2872639125908</v>
      </c>
      <c r="G21" s="43">
        <f t="shared" si="7"/>
        <v>715.91186951070267</v>
      </c>
      <c r="H21" s="43">
        <f t="shared" si="7"/>
        <v>130.54035390667923</v>
      </c>
      <c r="I21" s="43">
        <f t="shared" si="7"/>
        <v>1830.9510237546037</v>
      </c>
      <c r="J21" s="43">
        <f t="shared" si="7"/>
        <v>1169.1893137437783</v>
      </c>
      <c r="K21" s="43">
        <f t="shared" si="7"/>
        <v>-1530.7464575311005</v>
      </c>
      <c r="L21" s="43">
        <f t="shared" si="7"/>
        <v>-702.52505077227033</v>
      </c>
      <c r="M21" s="43">
        <f t="shared" si="7"/>
        <v>-1145.9707621433636</v>
      </c>
      <c r="N21" s="43">
        <f t="shared" si="7"/>
        <v>-2064.3598160244774</v>
      </c>
      <c r="O21" s="43">
        <f t="shared" si="7"/>
        <v>-667.40754944502442</v>
      </c>
      <c r="P21" s="43"/>
      <c r="Q21" s="45"/>
      <c r="R21" s="46"/>
      <c r="T21" s="45"/>
    </row>
    <row r="22" spans="1:20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43"/>
      <c r="Q22" s="32"/>
      <c r="R22" s="46"/>
      <c r="T22" s="47"/>
    </row>
    <row r="23" spans="1:20" x14ac:dyDescent="0.25">
      <c r="A23" s="34" t="s">
        <v>90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5"/>
      <c r="Q23" s="36"/>
      <c r="R23" s="33"/>
    </row>
    <row r="24" spans="1:20" x14ac:dyDescent="0.25">
      <c r="A24" s="34" t="s">
        <v>91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5"/>
      <c r="Q24" s="36"/>
      <c r="R24" s="48"/>
    </row>
    <row r="25" spans="1:20" x14ac:dyDescent="0.2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43"/>
      <c r="Q25" s="32"/>
      <c r="R25" s="48"/>
    </row>
    <row r="26" spans="1:20" x14ac:dyDescent="0.25">
      <c r="A26" s="34" t="s">
        <v>92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2"/>
      <c r="Q26" s="49"/>
      <c r="R26" s="48"/>
    </row>
    <row r="27" spans="1:20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3"/>
    </row>
    <row r="28" spans="1:20" x14ac:dyDescent="0.25">
      <c r="A28" s="50" t="s">
        <v>93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32"/>
      <c r="Q28" s="49"/>
      <c r="R28" s="33"/>
    </row>
    <row r="29" spans="1:20" x14ac:dyDescent="0.2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</row>
    <row r="30" spans="1:20" x14ac:dyDescent="0.25">
      <c r="A30" s="50" t="s">
        <v>94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32"/>
      <c r="Q30" s="51"/>
      <c r="R30" s="33"/>
    </row>
    <row r="31" spans="1:20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</row>
    <row r="32" spans="1:20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4" spans="1:18" x14ac:dyDescent="0.25">
      <c r="L34" s="241"/>
      <c r="M34" s="241"/>
      <c r="N34" s="241"/>
      <c r="O34" s="241"/>
      <c r="P34" s="241"/>
    </row>
    <row r="35" spans="1:18" x14ac:dyDescent="0.25">
      <c r="L35" s="242"/>
      <c r="M35" s="242"/>
      <c r="N35" s="242"/>
      <c r="O35" s="2"/>
    </row>
    <row r="36" spans="1:18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9"/>
      <c r="M36" s="29"/>
      <c r="N36" s="29"/>
      <c r="O36" s="29"/>
      <c r="P36" s="29"/>
      <c r="Q36" s="30"/>
      <c r="R36" s="31"/>
    </row>
    <row r="37" spans="1:18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/>
    </row>
    <row r="38" spans="1:18" ht="15.75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5"/>
      <c r="M38" s="35"/>
      <c r="N38" s="35"/>
      <c r="O38" s="35"/>
      <c r="P38" s="35"/>
      <c r="Q38" s="52"/>
      <c r="R38" s="33"/>
    </row>
    <row r="39" spans="1:18" x14ac:dyDescent="0.25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2"/>
      <c r="R39" s="33"/>
    </row>
    <row r="40" spans="1:18" ht="15.75" x14ac:dyDescent="0.25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7"/>
      <c r="M40" s="37"/>
      <c r="N40" s="37"/>
      <c r="O40" s="37"/>
      <c r="P40" s="37"/>
      <c r="Q40" s="24"/>
      <c r="R40" s="38"/>
    </row>
    <row r="41" spans="1:18" x14ac:dyDescent="0.2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2"/>
      <c r="R41" s="33"/>
    </row>
    <row r="42" spans="1:18" x14ac:dyDescent="0.2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40"/>
      <c r="M42" s="40"/>
      <c r="N42" s="40"/>
      <c r="O42" s="40"/>
      <c r="P42" s="40"/>
      <c r="Q42" s="42"/>
      <c r="R42" s="33"/>
    </row>
    <row r="43" spans="1:18" x14ac:dyDescent="0.2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2"/>
      <c r="Q43" s="32"/>
      <c r="R43" s="33"/>
    </row>
    <row r="44" spans="1:18" x14ac:dyDescent="0.2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5"/>
      <c r="M44" s="35"/>
      <c r="N44" s="35"/>
      <c r="O44" s="35"/>
      <c r="P44" s="35"/>
      <c r="Q44" s="32"/>
      <c r="R44" s="33"/>
    </row>
    <row r="45" spans="1:18" x14ac:dyDescent="0.25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5"/>
      <c r="Q45" s="32"/>
      <c r="R45" s="33"/>
    </row>
    <row r="46" spans="1:18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5"/>
      <c r="M46" s="35"/>
      <c r="N46" s="35"/>
      <c r="O46" s="35"/>
      <c r="P46" s="35"/>
      <c r="Q46" s="32"/>
      <c r="R46" s="33"/>
    </row>
    <row r="47" spans="1:18" x14ac:dyDescent="0.25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5"/>
      <c r="M47" s="35"/>
      <c r="N47" s="35"/>
      <c r="O47" s="35"/>
      <c r="P47" s="35"/>
      <c r="Q47" s="32"/>
      <c r="R47" s="33"/>
    </row>
    <row r="48" spans="1:18" x14ac:dyDescent="0.2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5"/>
      <c r="Q48" s="32"/>
      <c r="R48" s="33"/>
    </row>
    <row r="49" spans="1:20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43"/>
      <c r="M49" s="43"/>
      <c r="N49" s="43"/>
      <c r="O49" s="43"/>
      <c r="P49" s="43"/>
      <c r="Q49" s="45"/>
      <c r="R49" s="33"/>
    </row>
    <row r="50" spans="1:20" x14ac:dyDescent="0.25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43"/>
      <c r="M50" s="43"/>
      <c r="N50" s="43"/>
      <c r="O50" s="43"/>
      <c r="P50" s="43"/>
      <c r="Q50" s="45"/>
      <c r="R50" s="46"/>
      <c r="T50" s="45"/>
    </row>
    <row r="51" spans="1:20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43"/>
      <c r="M51" s="43"/>
      <c r="N51" s="43"/>
      <c r="O51" s="43"/>
      <c r="P51" s="43"/>
      <c r="Q51" s="45"/>
      <c r="R51" s="33"/>
      <c r="T51" s="45"/>
    </row>
    <row r="52" spans="1:20" x14ac:dyDescent="0.2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43"/>
      <c r="Q52" s="32"/>
      <c r="R52" s="46"/>
      <c r="T52" s="45"/>
    </row>
    <row r="53" spans="1:20" x14ac:dyDescent="0.2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5"/>
      <c r="Q53" s="35"/>
      <c r="R53" s="33"/>
    </row>
    <row r="54" spans="1:20" x14ac:dyDescent="0.2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5"/>
      <c r="Q54" s="35"/>
      <c r="R54" s="33"/>
    </row>
    <row r="55" spans="1:20" x14ac:dyDescent="0.25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43"/>
      <c r="Q55" s="32"/>
      <c r="R55" s="33"/>
    </row>
    <row r="56" spans="1:20" x14ac:dyDescent="0.2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2"/>
      <c r="Q56" s="49"/>
      <c r="R56" s="48"/>
    </row>
    <row r="57" spans="1:20" x14ac:dyDescent="0.25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3"/>
    </row>
    <row r="58" spans="1:20" x14ac:dyDescent="0.25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32"/>
      <c r="Q58" s="49"/>
      <c r="R58" s="33"/>
    </row>
    <row r="59" spans="1:20" x14ac:dyDescent="0.2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3"/>
    </row>
    <row r="60" spans="1:20" x14ac:dyDescent="0.25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32"/>
      <c r="Q60" s="53"/>
      <c r="R60" s="33"/>
    </row>
    <row r="61" spans="1:20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</row>
  </sheetData>
  <mergeCells count="2">
    <mergeCell ref="L34:P34"/>
    <mergeCell ref="L35:N35"/>
  </mergeCells>
  <pageMargins left="0.7" right="0.7" top="0.75" bottom="0.75" header="0.3" footer="0.3"/>
  <pageSetup scale="61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Pending</CaseStatus>
    <OpenedDate xmlns="dc463f71-b30c-4ab2-9473-d307f9d35888">2023-02-09T08:00:00+00:00</OpenedDate>
    <SignificantOrder xmlns="dc463f71-b30c-4ab2-9473-d307f9d35888">false</SignificantOrder>
    <Date1 xmlns="dc463f71-b30c-4ab2-9473-d307f9d35888">2023-02-09T08:00:00+00:00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Sound Disposal Holdings</CaseCompanyNames>
    <Nickname xmlns="http://schemas.microsoft.com/sharepoint/v3" xsi:nil="true"/>
    <DocketNumber xmlns="dc463f71-b30c-4ab2-9473-d307f9d35888">230085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59F974DF04B7348A16367E5F9DF2CAF" ma:contentTypeVersion="24" ma:contentTypeDescription="" ma:contentTypeScope="" ma:versionID="014937ff91fd0f0516d5d7095e0a0ea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B1A1B1-8A13-4F76-817A-D8E79E897322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0171E2EC-73DA-4DDD-AD48-8FCB6D42187A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7B34D27-3D65-4821-8BC6-10AB9A17E87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5A0D46E-8168-4221-AF73-027DF6169EE8}"/>
</file>

<file path=customXml/itemProps5.xml><?xml version="1.0" encoding="utf-8"?>
<ds:datastoreItem xmlns:ds="http://schemas.openxmlformats.org/officeDocument/2006/customXml" ds:itemID="{D4C3223C-8C60-4CCC-9549-1303E85840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Analysis</vt:lpstr>
      <vt:lpstr>Data</vt:lpstr>
      <vt:lpstr>Cust-PickUps</vt:lpstr>
      <vt:lpstr>Customer Summary</vt:lpstr>
      <vt:lpstr>Calcs revised method</vt:lpstr>
      <vt:lpstr>Analysis!Print_Area</vt:lpstr>
      <vt:lpstr>'Customer Summary'!Print_Area</vt:lpstr>
      <vt:lpstr>'Cust-PickUps'!Print_Area</vt:lpstr>
      <vt:lpstr>Data!Print_Area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wtbpdx@gmail.com</dc:creator>
  <cp:keywords/>
  <dc:description/>
  <cp:lastModifiedBy>Weldon Burton</cp:lastModifiedBy>
  <cp:revision/>
  <cp:lastPrinted>2023-02-09T00:10:53Z</cp:lastPrinted>
  <dcterms:created xsi:type="dcterms:W3CDTF">2018-08-17T22:00:24Z</dcterms:created>
  <dcterms:modified xsi:type="dcterms:W3CDTF">2023-02-09T20:55:04Z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ocset_NoMedatataSyncRequired">
    <vt:lpwstr>False</vt:lpwstr>
  </property>
  <property fmtid="{D5CDD505-2E9C-101B-9397-08002B2CF9AE}" pid="3" name="ContentTypeId">
    <vt:lpwstr>0x0101006E56B4D1795A2E4DB2F0B01679ED314A00659F974DF04B7348A16367E5F9DF2CAF</vt:lpwstr>
  </property>
  <property fmtid="{D5CDD505-2E9C-101B-9397-08002B2CF9AE}" pid="4" name="IsEFSEC">
    <vt:bool>false</vt:bool>
  </property>
</Properties>
</file>